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en\Internet\Düsenrechner\"/>
    </mc:Choice>
  </mc:AlternateContent>
  <bookViews>
    <workbookView showSheetTabs="0" xWindow="0" yWindow="0" windowWidth="28800" windowHeight="12300" firstSheet="1" activeTab="1"/>
  </bookViews>
  <sheets>
    <sheet name="Abdrift" sheetId="30" state="hidden" r:id="rId1"/>
    <sheet name="Tabelle1" sheetId="2" r:id="rId2"/>
    <sheet name="Vertikalgestänge" sheetId="29" r:id="rId3"/>
    <sheet name="Sprühkanone" sheetId="1" r:id="rId4"/>
    <sheet name="lf025" sheetId="26" r:id="rId5"/>
    <sheet name="kdf025" sheetId="27" r:id="rId6"/>
    <sheet name="ldf025" sheetId="28" r:id="rId7"/>
    <sheet name="025Streifen" sheetId="35" r:id="rId8"/>
    <sheet name="02Streifen" sheetId="36" r:id="rId9"/>
    <sheet name="kdf02 50" sheetId="24" r:id="rId10"/>
    <sheet name="ldf02 50" sheetId="25" r:id="rId11"/>
    <sheet name="kf04" sheetId="12" r:id="rId12"/>
    <sheet name="lf04" sheetId="13" r:id="rId13"/>
    <sheet name="kdf04" sheetId="14" r:id="rId14"/>
    <sheet name="ldf04" sheetId="15" r:id="rId15"/>
    <sheet name="kf05" sheetId="16" r:id="rId16"/>
    <sheet name="lf05" sheetId="17" r:id="rId17"/>
    <sheet name="kdf05" sheetId="18" r:id="rId18"/>
    <sheet name="ldf05" sheetId="19" r:id="rId19"/>
    <sheet name="05Streifen" sheetId="34" r:id="rId20"/>
    <sheet name="kf06" sheetId="20" r:id="rId21"/>
    <sheet name="lf06" sheetId="21" r:id="rId22"/>
    <sheet name="kdf06" sheetId="22" r:id="rId23"/>
    <sheet name="ldf06" sheetId="23" r:id="rId24"/>
    <sheet name="kf03" sheetId="8" r:id="rId25"/>
    <sheet name="lf03" sheetId="9" r:id="rId26"/>
    <sheet name="kdf03" sheetId="10" r:id="rId27"/>
    <sheet name="ldf03" sheetId="11" r:id="rId28"/>
    <sheet name="03Streifen" sheetId="33" r:id="rId29"/>
    <sheet name="kf03 Band" sheetId="6" r:id="rId30"/>
    <sheet name="04Streifen" sheetId="32" r:id="rId31"/>
    <sheet name="kf04 Band" sheetId="7" r:id="rId32"/>
    <sheet name="kf01 Band" sheetId="3" r:id="rId33"/>
    <sheet name="kf015 Band" sheetId="4" r:id="rId34"/>
    <sheet name="kf02 Band" sheetId="5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1435">Abdrift!$A$26</definedName>
    <definedName name="_1435b">Abdrift!$B$26</definedName>
    <definedName name="_1435c">Abdrift!$C$26</definedName>
    <definedName name="_1435f">Abdrift!$F$26</definedName>
    <definedName name="_1435g">Abdrift!$G$26</definedName>
    <definedName name="_1435h">Abdrift!$H$26</definedName>
    <definedName name="_1435i">Abdrift!$I$26</definedName>
    <definedName name="_1435j">Abdrift!$J$26</definedName>
    <definedName name="_1435k">Abdrift!$K$26</definedName>
    <definedName name="_1435l">Abdrift!$L$26</definedName>
    <definedName name="_1435m">Abdrift!$M$26</definedName>
    <definedName name="_1436">Abdrift!$A$27</definedName>
    <definedName name="_1436b">Abdrift!$B$27</definedName>
    <definedName name="_1436c">Abdrift!$C$27</definedName>
    <definedName name="_1436f">Abdrift!$F$27</definedName>
    <definedName name="_1436g">Abdrift!$G$27</definedName>
    <definedName name="_1436h">Abdrift!$H$27</definedName>
    <definedName name="_1436i">Abdrift!$I$27</definedName>
    <definedName name="_1436j">Abdrift!$J$27</definedName>
    <definedName name="_1436k">Abdrift!$K$27</definedName>
    <definedName name="_1436l">Abdrift!$L$27</definedName>
    <definedName name="_1436m">Abdrift!$M$27</definedName>
    <definedName name="_1437">Abdrift!$A$28</definedName>
    <definedName name="_1437b">Abdrift!$B$28</definedName>
    <definedName name="_1437c">Abdrift!$C$28</definedName>
    <definedName name="_1437f">Abdrift!$F$28</definedName>
    <definedName name="_1437g">Abdrift!$G$28</definedName>
    <definedName name="_1437h">Abdrift!$H$28</definedName>
    <definedName name="_1437i">Abdrift!$I$28</definedName>
    <definedName name="_1437j">Abdrift!$J$28</definedName>
    <definedName name="_1437k">Abdrift!$K$28</definedName>
    <definedName name="_1437l">Abdrift!$L$28</definedName>
    <definedName name="_1437m">Abdrift!$M$28</definedName>
    <definedName name="_1438">Abdrift!$A$29</definedName>
    <definedName name="_1438b">Abdrift!$B$29</definedName>
    <definedName name="_1438c">Abdrift!$C$29</definedName>
    <definedName name="_1438f">Abdrift!$F$29</definedName>
    <definedName name="_1438g">Abdrift!$G$29</definedName>
    <definedName name="_1438h">Abdrift!$H$29</definedName>
    <definedName name="_1438i">Abdrift!$I$29</definedName>
    <definedName name="_1438j">Abdrift!$J$29</definedName>
    <definedName name="_1438k">Abdrift!$K$29</definedName>
    <definedName name="_1438l">Abdrift!$L$29</definedName>
    <definedName name="_1438m">Abdrift!$M$29</definedName>
    <definedName name="_1613">Abdrift!$A$2</definedName>
    <definedName name="_1613b">Abdrift!$B$2</definedName>
    <definedName name="_1613c">Abdrift!$C$2</definedName>
    <definedName name="_1613f">Abdrift!$F$2</definedName>
    <definedName name="_1613g">Abdrift!$G$2</definedName>
    <definedName name="_1613h">Abdrift!$H$2</definedName>
    <definedName name="_1613i">Abdrift!$I$2</definedName>
    <definedName name="_1613j">Abdrift!$J$2</definedName>
    <definedName name="_1613k">Abdrift!$K$2</definedName>
    <definedName name="_1613l">Abdrift!$L$2</definedName>
    <definedName name="_1613m">Abdrift!$M$2</definedName>
    <definedName name="_1613n">Abdrift!$N$2</definedName>
    <definedName name="_1613o">Abdrift!$O$2</definedName>
    <definedName name="_1638">Abdrift!$A$3</definedName>
    <definedName name="_1638b">Abdrift!$B$3</definedName>
    <definedName name="_1638c">Abdrift!$C$3</definedName>
    <definedName name="_1638f">Abdrift!$F$3</definedName>
    <definedName name="_1638g">Abdrift!$G$3</definedName>
    <definedName name="_1638h">Abdrift!$H$3</definedName>
    <definedName name="_1638i">Abdrift!$I$3</definedName>
    <definedName name="_1638j">Abdrift!$J$3</definedName>
    <definedName name="_1638k">Abdrift!$K$3</definedName>
    <definedName name="_1638l">Abdrift!$L$3</definedName>
    <definedName name="_1638m">Abdrift!$M$3</definedName>
    <definedName name="_1638n">Abdrift!$N$3</definedName>
    <definedName name="_1638o">Abdrift!$O$3</definedName>
    <definedName name="_1718">Abdrift!$A$44</definedName>
    <definedName name="_1718b">Abdrift!$B$44</definedName>
    <definedName name="_1718c">Abdrift!$C$44</definedName>
    <definedName name="_1718f">Abdrift!$F$44</definedName>
    <definedName name="_1718g">Abdrift!$G$44</definedName>
    <definedName name="_1718h">Abdrift!$H$44</definedName>
    <definedName name="_1718i">Abdrift!$I$44</definedName>
    <definedName name="_1718j">Abdrift!$J$44</definedName>
    <definedName name="_1718k">Abdrift!$K$44</definedName>
    <definedName name="_1718l">Abdrift!$L$44</definedName>
    <definedName name="_1718m">Abdrift!$M$44</definedName>
    <definedName name="_1737">Abdrift!$A$107</definedName>
    <definedName name="_1737b">Abdrift!$B$107</definedName>
    <definedName name="_1737c">Abdrift!$C$107</definedName>
    <definedName name="_1737f">Abdrift!$F$107</definedName>
    <definedName name="_1737g">Abdrift!$G$107</definedName>
    <definedName name="_1737h">Abdrift!$H$107</definedName>
    <definedName name="_1737i">Abdrift!$I$107</definedName>
    <definedName name="_1737j">Abdrift!$J$107</definedName>
    <definedName name="_1737k">Abdrift!$K$107</definedName>
    <definedName name="_1737l">Abdrift!$L$107</definedName>
    <definedName name="_1737m">Abdrift!$M$107</definedName>
    <definedName name="_1738">Abdrift!$A$108</definedName>
    <definedName name="_1738b">Abdrift!$B$108</definedName>
    <definedName name="_1738c">Abdrift!$C$108</definedName>
    <definedName name="_1738f">Abdrift!$F$108</definedName>
    <definedName name="_1738g">Abdrift!$G$108</definedName>
    <definedName name="_1738h">Abdrift!$H$108</definedName>
    <definedName name="_1738i">Abdrift!$I$108</definedName>
    <definedName name="_1738j">Abdrift!$J$108</definedName>
    <definedName name="_1738k">Abdrift!$K$108</definedName>
    <definedName name="_1738l">Abdrift!$L$108</definedName>
    <definedName name="_1738m">Abdrift!$M$108</definedName>
    <definedName name="_1739">Abdrift!$A$109</definedName>
    <definedName name="_1739b">Abdrift!$B$109</definedName>
    <definedName name="_1739c">Abdrift!$C$109</definedName>
    <definedName name="_1739f">Abdrift!$F$109</definedName>
    <definedName name="_1739g">Abdrift!$G$109</definedName>
    <definedName name="_1739h">Abdrift!$H$109</definedName>
    <definedName name="_1739i">Abdrift!$I$109</definedName>
    <definedName name="_1739j">Abdrift!$J$109</definedName>
    <definedName name="_1739k">Abdrift!$K$109</definedName>
    <definedName name="_1739l">Abdrift!$L$109</definedName>
    <definedName name="_1739m">Abdrift!$M$109</definedName>
    <definedName name="_1740">Abdrift!$A$110</definedName>
    <definedName name="_1740b">Abdrift!$B$110</definedName>
    <definedName name="_1740c">Abdrift!$C$110</definedName>
    <definedName name="_1740f">Abdrift!$F$110</definedName>
    <definedName name="_1740g">Abdrift!$G$110</definedName>
    <definedName name="_1740h">Abdrift!$H$110</definedName>
    <definedName name="_1740i">Abdrift!$I$110</definedName>
    <definedName name="_1740j">Abdrift!$J$110</definedName>
    <definedName name="_1740k">Abdrift!$K$110</definedName>
    <definedName name="_1740l">Abdrift!$L$110</definedName>
    <definedName name="_1740m">Abdrift!$M$110</definedName>
    <definedName name="_1753">Abdrift!$A$69</definedName>
    <definedName name="_1753b">Abdrift!$B$69</definedName>
    <definedName name="_1753c">Abdrift!$C$69</definedName>
    <definedName name="_1753f">Abdrift!$F$69</definedName>
    <definedName name="_1753g">Abdrift!$G$69</definedName>
    <definedName name="_1753h">Abdrift!$H$69</definedName>
    <definedName name="_1753i">Abdrift!$I$69</definedName>
    <definedName name="_1753j">Abdrift!$J$69</definedName>
    <definedName name="_1753k">Abdrift!$K$69</definedName>
    <definedName name="_1753l">Abdrift!$L$69</definedName>
    <definedName name="_1753m">Abdrift!$M$69</definedName>
    <definedName name="_1753t">Abdrift!$T$69</definedName>
    <definedName name="_1754">Abdrift!$A$71</definedName>
    <definedName name="_1754b">Abdrift!$B$71</definedName>
    <definedName name="_1754c">Abdrift!$C$71</definedName>
    <definedName name="_1754f">Abdrift!$F$71</definedName>
    <definedName name="_1754g">Abdrift!$G$71</definedName>
    <definedName name="_1754h">Abdrift!$H$71</definedName>
    <definedName name="_1754i">Abdrift!$I$71</definedName>
    <definedName name="_1754j">Abdrift!$J$71</definedName>
    <definedName name="_1754k">Abdrift!$K$71</definedName>
    <definedName name="_1754l">Abdrift!$L$71</definedName>
    <definedName name="_1754m">Abdrift!$M$71</definedName>
    <definedName name="_1754t">Abdrift!$T$71</definedName>
    <definedName name="_1755">Abdrift!$A$73</definedName>
    <definedName name="_1755b">Abdrift!$B$73</definedName>
    <definedName name="_1755c">Abdrift!$C$73</definedName>
    <definedName name="_1755f">Abdrift!$F$73</definedName>
    <definedName name="_1755g">Abdrift!$G$73</definedName>
    <definedName name="_1755h">Abdrift!$H$73</definedName>
    <definedName name="_1755i">Abdrift!$I$73</definedName>
    <definedName name="_1755j">Abdrift!$J$73</definedName>
    <definedName name="_1755k">Abdrift!$K$73</definedName>
    <definedName name="_1755l">Abdrift!$L$73</definedName>
    <definedName name="_1755m">Abdrift!$M$73</definedName>
    <definedName name="_1755t">Abdrift!$T$73</definedName>
    <definedName name="_1758">Abdrift!$A$14</definedName>
    <definedName name="_1758b">Abdrift!$B$14</definedName>
    <definedName name="_1758c">Abdrift!$C$14</definedName>
    <definedName name="_1758f">Abdrift!$F$14</definedName>
    <definedName name="_1758g">Abdrift!$G$14</definedName>
    <definedName name="_1758h">Abdrift!$H$14</definedName>
    <definedName name="_1758i">Abdrift!$I$14</definedName>
    <definedName name="_1758j">Abdrift!$J$14</definedName>
    <definedName name="_1758k">Abdrift!$K$14</definedName>
    <definedName name="_1758l">Abdrift!$L$14</definedName>
    <definedName name="_1758m">Abdrift!$M$14</definedName>
    <definedName name="_1758t">Abdrift!$T$14</definedName>
    <definedName name="_1779">Abdrift!$A$101</definedName>
    <definedName name="_1779b">Abdrift!$B$101</definedName>
    <definedName name="_1779c">Abdrift!$C$101</definedName>
    <definedName name="_1779f">Abdrift!$F$101</definedName>
    <definedName name="_1779g">Abdrift!$G$101</definedName>
    <definedName name="_1779h">Abdrift!$H$101</definedName>
    <definedName name="_1779i">Abdrift!$I$101</definedName>
    <definedName name="_1779j">Abdrift!$J$101</definedName>
    <definedName name="_1779k">Abdrift!$K$101</definedName>
    <definedName name="_1779l">Abdrift!$L$101</definedName>
    <definedName name="_1779m">Abdrift!$M$101</definedName>
    <definedName name="_1780">Abdrift!$A$102</definedName>
    <definedName name="_1780b">Abdrift!$B$102</definedName>
    <definedName name="_1780c">Abdrift!$C$102</definedName>
    <definedName name="_1780f">Abdrift!$F$102</definedName>
    <definedName name="_1780g">Abdrift!$G$102</definedName>
    <definedName name="_1780h">Abdrift!$H$102</definedName>
    <definedName name="_1780i">Abdrift!$I$102</definedName>
    <definedName name="_1780j">Abdrift!$J$102</definedName>
    <definedName name="_1780k">Abdrift!$K$102</definedName>
    <definedName name="_1780l">Abdrift!$L$102</definedName>
    <definedName name="_1780m">Abdrift!$M$102</definedName>
    <definedName name="_1783">Abdrift!$A$86</definedName>
    <definedName name="_1783b">Abdrift!$B$86</definedName>
    <definedName name="_1783c">Abdrift!$C$86</definedName>
    <definedName name="_1783f">Abdrift!$F$86</definedName>
    <definedName name="_1783g">Abdrift!$G$86</definedName>
    <definedName name="_1783h">Abdrift!$H$86</definedName>
    <definedName name="_1783i">Abdrift!$I$86</definedName>
    <definedName name="_1783j">Abdrift!$J$86</definedName>
    <definedName name="_1783k">Abdrift!$K$86</definedName>
    <definedName name="_1783l">Abdrift!$L$86</definedName>
    <definedName name="_1783m">Abdrift!$M$86</definedName>
    <definedName name="_1784">Abdrift!$A$87</definedName>
    <definedName name="_1784b">Abdrift!$B$87</definedName>
    <definedName name="_1784c">Abdrift!$C$87</definedName>
    <definedName name="_1784f">Abdrift!$F$87</definedName>
    <definedName name="_1784g">Abdrift!$G$87</definedName>
    <definedName name="_1784h">Abdrift!$H$87</definedName>
    <definedName name="_1784i">Abdrift!$I$87</definedName>
    <definedName name="_1784j">Abdrift!$J$87</definedName>
    <definedName name="_1784k">Abdrift!$K$87</definedName>
    <definedName name="_1784l">Abdrift!$L$87</definedName>
    <definedName name="_1784m">Abdrift!$M$87</definedName>
    <definedName name="_1787">Abdrift!$A$45</definedName>
    <definedName name="_1787b">Abdrift!$B$45</definedName>
    <definedName name="_1787c">Abdrift!$C$45</definedName>
    <definedName name="_1787f">Abdrift!$F$45</definedName>
    <definedName name="_1787g">Abdrift!$G$45</definedName>
    <definedName name="_1787h">Abdrift!$H$45</definedName>
    <definedName name="_1787i">Abdrift!$I$45</definedName>
    <definedName name="_1787j">Abdrift!$J$45</definedName>
    <definedName name="_1787k">Abdrift!$K$45</definedName>
    <definedName name="_1787l">Abdrift!$L$45</definedName>
    <definedName name="_1787m">Abdrift!$M$45</definedName>
    <definedName name="_1787t">Abdrift!$T$45</definedName>
    <definedName name="_1788">Abdrift!$A$47</definedName>
    <definedName name="_1788b">Abdrift!$B$47</definedName>
    <definedName name="_1788c">Abdrift!$C$47</definedName>
    <definedName name="_1788f">Abdrift!$F$47</definedName>
    <definedName name="_1788g">Abdrift!$G$47</definedName>
    <definedName name="_1788h">Abdrift!$H$47</definedName>
    <definedName name="_1788i">Abdrift!$I$47</definedName>
    <definedName name="_1788j">Abdrift!$J$47</definedName>
    <definedName name="_1788k">Abdrift!$K$47</definedName>
    <definedName name="_1788l">Abdrift!$L$47</definedName>
    <definedName name="_1788m">Abdrift!$M$47</definedName>
    <definedName name="_1788t">Abdrift!$T$47</definedName>
    <definedName name="_1789">Abdrift!$A$49</definedName>
    <definedName name="_1789b">Abdrift!$B$49</definedName>
    <definedName name="_1789c">Abdrift!$C$49</definedName>
    <definedName name="_1789f">Abdrift!$F$49</definedName>
    <definedName name="_1789g">Abdrift!$G$49</definedName>
    <definedName name="_1789h">Abdrift!$H$49</definedName>
    <definedName name="_1789i">Abdrift!$I$49</definedName>
    <definedName name="_1789j">Abdrift!$J$49</definedName>
    <definedName name="_1789k">Abdrift!$K$49</definedName>
    <definedName name="_1789l">Abdrift!$L$49</definedName>
    <definedName name="_1789m">Abdrift!$M$49</definedName>
    <definedName name="_1789t">Abdrift!$T$49</definedName>
    <definedName name="_1789v">Abdrift!$V$49</definedName>
    <definedName name="_1789w">Abdrift!$W$49</definedName>
    <definedName name="_1795">Abdrift!$A$16</definedName>
    <definedName name="_1795b">Abdrift!$B$16</definedName>
    <definedName name="_1795c">Abdrift!$C$16</definedName>
    <definedName name="_1795f">Abdrift!$F$16</definedName>
    <definedName name="_1795g">Abdrift!$G$16</definedName>
    <definedName name="_1795h">Abdrift!$H$16</definedName>
    <definedName name="_1795i">Abdrift!$I$16</definedName>
    <definedName name="_1795j">Abdrift!$J$16</definedName>
    <definedName name="_1795k">Abdrift!$K$16</definedName>
    <definedName name="_1795l">Abdrift!$L$16</definedName>
    <definedName name="_1795m">Abdrift!$M$16</definedName>
    <definedName name="_1799">Abdrift!$A$43</definedName>
    <definedName name="_1799b">Abdrift!$B$43</definedName>
    <definedName name="_1799c">Abdrift!$C$43</definedName>
    <definedName name="_1799f">Abdrift!$F$43</definedName>
    <definedName name="_1799g">Abdrift!$G$43</definedName>
    <definedName name="_1799h">Abdrift!$H$43</definedName>
    <definedName name="_1799i">Abdrift!$I$43</definedName>
    <definedName name="_1799j">Abdrift!$J$43</definedName>
    <definedName name="_1799k">Abdrift!$K$43</definedName>
    <definedName name="_1799l">Abdrift!$L$43</definedName>
    <definedName name="_1799m">Abdrift!$M$43</definedName>
    <definedName name="_1801">Abdrift!$A$36</definedName>
    <definedName name="_1801b">Abdrift!$B$36</definedName>
    <definedName name="_1801c">Abdrift!$C$36</definedName>
    <definedName name="_1801f">Abdrift!$F$36</definedName>
    <definedName name="_1801g">Abdrift!$G$36</definedName>
    <definedName name="_1801h">Abdrift!$H$36</definedName>
    <definedName name="_1801i">Abdrift!$I$36</definedName>
    <definedName name="_1801j">Abdrift!$J$36</definedName>
    <definedName name="_1801k">Abdrift!$K$36</definedName>
    <definedName name="_1801l">Abdrift!$L$36</definedName>
    <definedName name="_1801m">Abdrift!$M$36</definedName>
    <definedName name="_1821">Abdrift!$A$118</definedName>
    <definedName name="_1821b">Abdrift!$B$118</definedName>
    <definedName name="_1821c">Abdrift!$C$118</definedName>
    <definedName name="_1821f">Abdrift!$F$118</definedName>
    <definedName name="_1821g">Abdrift!$G$118</definedName>
    <definedName name="_1821h">Abdrift!$H$118</definedName>
    <definedName name="_1821i">Abdrift!$I$118</definedName>
    <definedName name="_1821j">Abdrift!$J$118</definedName>
    <definedName name="_1821k">Abdrift!$K$118</definedName>
    <definedName name="_1821l">Abdrift!$L$118</definedName>
    <definedName name="_1821m">Abdrift!$M$118</definedName>
    <definedName name="_1836">Abdrift!$A$59</definedName>
    <definedName name="_1836b">Abdrift!$B$59</definedName>
    <definedName name="_1836c">Abdrift!$C$59</definedName>
    <definedName name="_1836f">Abdrift!$F$59</definedName>
    <definedName name="_1836g">Abdrift!$G$59</definedName>
    <definedName name="_1836h">Abdrift!$H$59</definedName>
    <definedName name="_1836i">Abdrift!$I$59</definedName>
    <definedName name="_1836j">Abdrift!$J$59</definedName>
    <definedName name="_1836k">Abdrift!$K$59</definedName>
    <definedName name="_1836l">Abdrift!$L$59</definedName>
    <definedName name="_1836m">Abdrift!$M$59</definedName>
    <definedName name="_1837">Abdrift!$A$57</definedName>
    <definedName name="_1837b">Abdrift!$B$57</definedName>
    <definedName name="_1837c">Abdrift!$C$57</definedName>
    <definedName name="_1837f">Abdrift!$F$57</definedName>
    <definedName name="_1837g">Abdrift!$G$57</definedName>
    <definedName name="_1837h">Abdrift!$H$57</definedName>
    <definedName name="_1837i">Abdrift!$I$57</definedName>
    <definedName name="_1837j">Abdrift!$J$57</definedName>
    <definedName name="_1837k">Abdrift!$K$57</definedName>
    <definedName name="_1837l">Abdrift!$L$57</definedName>
    <definedName name="_1837m">Abdrift!$M$57</definedName>
    <definedName name="_1848">Abdrift!$A$11</definedName>
    <definedName name="_1848b">Abdrift!$B$11</definedName>
    <definedName name="_1848c">Abdrift!$C$11</definedName>
    <definedName name="_1848f">Abdrift!$F$11</definedName>
    <definedName name="_1848g">Abdrift!$G$11</definedName>
    <definedName name="_1848h">Abdrift!$H$11</definedName>
    <definedName name="_1848i">Abdrift!$I$11</definedName>
    <definedName name="_1848j">Abdrift!$J$11</definedName>
    <definedName name="_1848k">Abdrift!$K$11</definedName>
    <definedName name="_1848l">Abdrift!$L$11</definedName>
    <definedName name="_1848m">Abdrift!$M$11</definedName>
    <definedName name="_1883">Abdrift!$A$56</definedName>
    <definedName name="_1883b">Abdrift!$B$56</definedName>
    <definedName name="_1883c">Abdrift!$C$56</definedName>
    <definedName name="_1883f">Abdrift!$F$56</definedName>
    <definedName name="_1883g">Abdrift!$G$56</definedName>
    <definedName name="_1883h">Abdrift!$H$56</definedName>
    <definedName name="_1883i">Abdrift!$I$56</definedName>
    <definedName name="_1883j">Abdrift!$J$56</definedName>
    <definedName name="_1883k">Abdrift!$K$56</definedName>
    <definedName name="_1883l">Abdrift!$L$56</definedName>
    <definedName name="_1883m">Abdrift!$M$56</definedName>
    <definedName name="_1884">Abdrift!$A$58</definedName>
    <definedName name="_1884b">Abdrift!$B$58</definedName>
    <definedName name="_1884c">Abdrift!$C$58</definedName>
    <definedName name="_1884f">Abdrift!$F$58</definedName>
    <definedName name="_1884g">Abdrift!$G$58</definedName>
    <definedName name="_1884h">Abdrift!$H$58</definedName>
    <definedName name="_1884i">Abdrift!$I$58</definedName>
    <definedName name="_1884j">Abdrift!$J$58</definedName>
    <definedName name="_1884k">Abdrift!$K$58</definedName>
    <definedName name="_1884l">Abdrift!$L$58</definedName>
    <definedName name="_1884m">Abdrift!$M$58</definedName>
    <definedName name="_1891">Abdrift!$A$5</definedName>
    <definedName name="_1891b">Abdrift!$B$5</definedName>
    <definedName name="_1891c">Abdrift!$C$5</definedName>
    <definedName name="_1891f">Abdrift!$F$5</definedName>
    <definedName name="_1891g">Abdrift!$G$5</definedName>
    <definedName name="_1891h">Abdrift!$H$5</definedName>
    <definedName name="_1891i">Abdrift!$I$5</definedName>
    <definedName name="_1891j">Abdrift!$J$5</definedName>
    <definedName name="_1891k">Abdrift!$K$5</definedName>
    <definedName name="_1891l">Abdrift!$L$5</definedName>
    <definedName name="_1891m">Abdrift!$M$5</definedName>
    <definedName name="_1891t">Abdrift!$T$5</definedName>
    <definedName name="_1892">Abdrift!$A$6</definedName>
    <definedName name="_1892b">Abdrift!$B$6</definedName>
    <definedName name="_1892c">Abdrift!$C$6</definedName>
    <definedName name="_1892f">Abdrift!$F$6</definedName>
    <definedName name="_1892g">Abdrift!$G$6</definedName>
    <definedName name="_1892h">Abdrift!$H$6</definedName>
    <definedName name="_1892i">Abdrift!$I$6</definedName>
    <definedName name="_1892j">Abdrift!$J$6</definedName>
    <definedName name="_1892k">Abdrift!$K$6</definedName>
    <definedName name="_1892l">Abdrift!$L$6</definedName>
    <definedName name="_1892m">Abdrift!$M$6</definedName>
    <definedName name="_1892t">Abdrift!$T$6</definedName>
    <definedName name="_1893">Abdrift!$A$9</definedName>
    <definedName name="_1893b">Abdrift!$B$9</definedName>
    <definedName name="_1893c">Abdrift!$C$9</definedName>
    <definedName name="_1893f">Abdrift!$F$9</definedName>
    <definedName name="_1893g">Abdrift!$G$9</definedName>
    <definedName name="_1893h">Abdrift!$H$9</definedName>
    <definedName name="_1893i">Abdrift!$I$9</definedName>
    <definedName name="_1893j">Abdrift!$J$9</definedName>
    <definedName name="_1893k">Abdrift!$K$9</definedName>
    <definedName name="_1893l">Abdrift!$L$9</definedName>
    <definedName name="_1893m">Abdrift!$M$9</definedName>
    <definedName name="_1893t">Abdrift!$T$9</definedName>
    <definedName name="_1893v">Abdrift!$V$9</definedName>
    <definedName name="_1893w">Abdrift!$W$9</definedName>
    <definedName name="_1896">Abdrift!$A$117</definedName>
    <definedName name="_1896b">Abdrift!$B$117</definedName>
    <definedName name="_1896c">Abdrift!$C$117</definedName>
    <definedName name="_1896f">Abdrift!$F$117</definedName>
    <definedName name="_1896g">Abdrift!$G$117</definedName>
    <definedName name="_1896h">Abdrift!$H$117</definedName>
    <definedName name="_1896i">Abdrift!$I$117</definedName>
    <definedName name="_1896j">Abdrift!$J$117</definedName>
    <definedName name="_1896k">Abdrift!$K$117</definedName>
    <definedName name="_1896l">Abdrift!$L$117</definedName>
    <definedName name="_1896m">Abdrift!$M$117</definedName>
    <definedName name="_1903">Abdrift!$A$24</definedName>
    <definedName name="_1903b">Abdrift!$B$24</definedName>
    <definedName name="_1903c">Abdrift!$C$24</definedName>
    <definedName name="_1903f">Abdrift!$F$24</definedName>
    <definedName name="_1903g">Abdrift!$G$24</definedName>
    <definedName name="_1903h">Abdrift!$H$24</definedName>
    <definedName name="_1903i">Abdrift!$I$24</definedName>
    <definedName name="_1903j">Abdrift!$J$24</definedName>
    <definedName name="_1903k">Abdrift!$K$24</definedName>
    <definedName name="_1903l">Abdrift!$L$24</definedName>
    <definedName name="_1903m">Abdrift!$M$24</definedName>
    <definedName name="_1905">Abdrift!$A$25</definedName>
    <definedName name="_1905b">Abdrift!$B$25</definedName>
    <definedName name="_1905c">Abdrift!$C$25</definedName>
    <definedName name="_1905f">Abdrift!$F$25</definedName>
    <definedName name="_1905g">Abdrift!$G$25</definedName>
    <definedName name="_1905h">Abdrift!$H$25</definedName>
    <definedName name="_1905i">Abdrift!$I$25</definedName>
    <definedName name="_1905j">Abdrift!$J$25</definedName>
    <definedName name="_1905k">Abdrift!$K$25</definedName>
    <definedName name="_1905l">Abdrift!$L$25</definedName>
    <definedName name="_1905m">Abdrift!$M$25</definedName>
    <definedName name="_1907">Abdrift!$A$83</definedName>
    <definedName name="_1907b">Abdrift!$B$83</definedName>
    <definedName name="_1907c">Abdrift!$C$83</definedName>
    <definedName name="_1907f">Abdrift!$F$83</definedName>
    <definedName name="_1907g">Abdrift!$G$83</definedName>
    <definedName name="_1907h">Abdrift!$H$83</definedName>
    <definedName name="_1907i">Abdrift!$I$83</definedName>
    <definedName name="_1907j">Abdrift!$J$83</definedName>
    <definedName name="_1907k">Abdrift!$K$83</definedName>
    <definedName name="_1907l">Abdrift!$L$83</definedName>
    <definedName name="_1907m">Abdrift!$M$83</definedName>
    <definedName name="_1908">Abdrift!$A$84</definedName>
    <definedName name="_1908b">Abdrift!$B$84</definedName>
    <definedName name="_1908c">Abdrift!$C$84</definedName>
    <definedName name="_1908f">Abdrift!$F$84</definedName>
    <definedName name="_1908g">Abdrift!$G$84</definedName>
    <definedName name="_1908h">Abdrift!$H$84</definedName>
    <definedName name="_1908i">Abdrift!$I$84</definedName>
    <definedName name="_1908J">Abdrift!$J$84</definedName>
    <definedName name="_1908k">Abdrift!$K$84</definedName>
    <definedName name="_1908l">Abdrift!$L$84</definedName>
    <definedName name="_1908m">Abdrift!$M$84</definedName>
    <definedName name="_1909">Abdrift!$A$85</definedName>
    <definedName name="_1909b">Abdrift!$B$85</definedName>
    <definedName name="_1909c">Abdrift!$C$85</definedName>
    <definedName name="_1909f">Abdrift!$F$85</definedName>
    <definedName name="_1909g">Abdrift!$G$85</definedName>
    <definedName name="_1909h">Abdrift!$H$85</definedName>
    <definedName name="_1909i">Abdrift!$I$85</definedName>
    <definedName name="_1909j">Abdrift!$J$85</definedName>
    <definedName name="_1909k">Abdrift!$K$85</definedName>
    <definedName name="_1909l">Abdrift!$L$85</definedName>
    <definedName name="_1909m">Abdrift!$M$85</definedName>
    <definedName name="_1911">Abdrift!$A$53</definedName>
    <definedName name="_1911b">Abdrift!$B$53</definedName>
    <definedName name="_1911c">Abdrift!$C$53</definedName>
    <definedName name="_1911f">Abdrift!$F$53</definedName>
    <definedName name="_1911g">Abdrift!$G$53</definedName>
    <definedName name="_1911h">Abdrift!$H$53</definedName>
    <definedName name="_1911i">Abdrift!$I$53</definedName>
    <definedName name="_1911j">Abdrift!$J$53</definedName>
    <definedName name="_1911k">Abdrift!$K$53</definedName>
    <definedName name="_1911l">Abdrift!$L$53</definedName>
    <definedName name="_1911m">Abdrift!$M$53</definedName>
    <definedName name="_1912">Abdrift!$A$54</definedName>
    <definedName name="_1912b">Abdrift!$B$54</definedName>
    <definedName name="_1912c">Abdrift!$C$54</definedName>
    <definedName name="_1912f">Abdrift!$F$54</definedName>
    <definedName name="_1912g">Abdrift!$G$54</definedName>
    <definedName name="_1912h">Abdrift!$H$54</definedName>
    <definedName name="_1912i">Abdrift!$I$54</definedName>
    <definedName name="_1912j">Abdrift!$J$54</definedName>
    <definedName name="_1912k">Abdrift!$K$54</definedName>
    <definedName name="_1912l">Abdrift!$L$54</definedName>
    <definedName name="_1912m">Abdrift!$M$54</definedName>
    <definedName name="_1932">Abdrift!$A$124</definedName>
    <definedName name="_1932b">Abdrift!$B$124</definedName>
    <definedName name="_1932c">Abdrift!$C$124</definedName>
    <definedName name="_1932f">Abdrift!$F$124</definedName>
    <definedName name="_1932g">Abdrift!$G$124</definedName>
    <definedName name="_1932h">Abdrift!$H$124</definedName>
    <definedName name="_1932i">Abdrift!$I$124</definedName>
    <definedName name="_1932j">Abdrift!$J$124</definedName>
    <definedName name="_1932k">Abdrift!$K$124</definedName>
    <definedName name="_1932l">Abdrift!$L$124</definedName>
    <definedName name="_1932m">Abdrift!$M$124</definedName>
    <definedName name="_1932n">Abdrift!$N$124</definedName>
    <definedName name="_1932o">Abdrift!$O$124</definedName>
    <definedName name="_1932t">Abdrift!$T$124</definedName>
    <definedName name="_1933">Abdrift!$A$123</definedName>
    <definedName name="_1933b">Abdrift!$B$123</definedName>
    <definedName name="_1933c">Abdrift!$C$123</definedName>
    <definedName name="_1933f">Abdrift!$F$123</definedName>
    <definedName name="_1933g">Abdrift!$G$123</definedName>
    <definedName name="_1933h">Abdrift!$H$123</definedName>
    <definedName name="_1933i">Abdrift!$I$123</definedName>
    <definedName name="_1933j">Abdrift!$J$123</definedName>
    <definedName name="_1933k">Abdrift!$K$123</definedName>
    <definedName name="_1933l">Abdrift!$L$123</definedName>
    <definedName name="_1933m">Abdrift!$M$123</definedName>
    <definedName name="_1933t">Abdrift!$T$123</definedName>
    <definedName name="_1934">Abdrift!$A$125</definedName>
    <definedName name="_1934b">Abdrift!$B$125</definedName>
    <definedName name="_1934c">Abdrift!$C$125</definedName>
    <definedName name="_1934f">Abdrift!$F$125</definedName>
    <definedName name="_1934g">Abdrift!$G$125</definedName>
    <definedName name="_1934h">Abdrift!$H$125</definedName>
    <definedName name="_1934i">Abdrift!$I$125</definedName>
    <definedName name="_1934j">Abdrift!$J$125</definedName>
    <definedName name="_1934k">Abdrift!$K$125</definedName>
    <definedName name="_1934l">Abdrift!$L$125</definedName>
    <definedName name="_1934m">Abdrift!$M$125</definedName>
    <definedName name="_1934n">Abdrift!$N$125</definedName>
    <definedName name="_1934o">Abdrift!$O$125</definedName>
    <definedName name="_1934t">Abdrift!$T$125</definedName>
    <definedName name="_1935">Abdrift!$A$60</definedName>
    <definedName name="_1935b">Abdrift!$B$60</definedName>
    <definedName name="_1935c">Abdrift!$C$60</definedName>
    <definedName name="_1935f">Abdrift!$F$60</definedName>
    <definedName name="_1935g">Abdrift!$G$60</definedName>
    <definedName name="_1935h">Abdrift!$H$60</definedName>
    <definedName name="_1935i">Abdrift!$I$60</definedName>
    <definedName name="_1935j">Abdrift!$J$60</definedName>
    <definedName name="_1935k">Abdrift!$K$60</definedName>
    <definedName name="_1935l">Abdrift!$L$60</definedName>
    <definedName name="_1935m">Abdrift!$M$60</definedName>
    <definedName name="_1936">Abdrift!$A$38</definedName>
    <definedName name="_1936b">Abdrift!$B$38</definedName>
    <definedName name="_1936c">Abdrift!$C$38</definedName>
    <definedName name="_1936f">Abdrift!$F$38</definedName>
    <definedName name="_1936g">Abdrift!$G$38</definedName>
    <definedName name="_1936h">Abdrift!$H$38</definedName>
    <definedName name="_1936i">Abdrift!$I$38</definedName>
    <definedName name="_1936j">Abdrift!$J$38</definedName>
    <definedName name="_1936k">Abdrift!$K$38</definedName>
    <definedName name="_1936l">Abdrift!$L$38</definedName>
    <definedName name="_1936m">Abdrift!$M$38</definedName>
    <definedName name="_1937">Abdrift!$A$126</definedName>
    <definedName name="_1937b">Abdrift!$B$126</definedName>
    <definedName name="_1937c">Abdrift!$C$126</definedName>
    <definedName name="_1937f">Abdrift!$F$126</definedName>
    <definedName name="_1937g">Abdrift!$G$126</definedName>
    <definedName name="_1937h">Abdrift!$H$126</definedName>
    <definedName name="_1937i">Abdrift!$I$126</definedName>
    <definedName name="_1937j">Abdrift!$J$126</definedName>
    <definedName name="_1937k">Abdrift!$K$126</definedName>
    <definedName name="_1937l">Abdrift!$L$126</definedName>
    <definedName name="_1937m">Abdrift!$M$126</definedName>
    <definedName name="_1937n">Abdrift!$N$126</definedName>
    <definedName name="_1937o">Abdrift!$O$126</definedName>
    <definedName name="_1937t">Abdrift!$T$126</definedName>
    <definedName name="_1945">Abdrift!$A$106</definedName>
    <definedName name="_1945b">Abdrift!$B$106</definedName>
    <definedName name="_1945c">Abdrift!$C$106</definedName>
    <definedName name="_1945f">Abdrift!$F$106</definedName>
    <definedName name="_1945g">Abdrift!$G$106</definedName>
    <definedName name="_1945h">Abdrift!$H$106</definedName>
    <definedName name="_1945i">Abdrift!$I$106</definedName>
    <definedName name="_1945j">Abdrift!$J$106</definedName>
    <definedName name="_1945k">Abdrift!$K$106</definedName>
    <definedName name="_1945l">Abdrift!$L$106</definedName>
    <definedName name="_1945m">Abdrift!$M$106</definedName>
    <definedName name="_1945n">Abdrift!$N$106</definedName>
    <definedName name="_1945o">Abdrift!$O$106</definedName>
    <definedName name="_1947">Abdrift!$A$111</definedName>
    <definedName name="_1947b">Abdrift!$B$111</definedName>
    <definedName name="_1947c">Abdrift!$C$111</definedName>
    <definedName name="_1947f">Abdrift!$F$111</definedName>
    <definedName name="_1947g">Abdrift!$G$111</definedName>
    <definedName name="_1947h">Abdrift!$H$111</definedName>
    <definedName name="_1947i">Abdrift!$I$111</definedName>
    <definedName name="_1947j">Abdrift!$J$111</definedName>
    <definedName name="_1947k">Abdrift!$K$111</definedName>
    <definedName name="_1947l">Abdrift!$L$111</definedName>
    <definedName name="_1947m">Abdrift!$M$111</definedName>
    <definedName name="_1963">Abdrift!$A$37</definedName>
    <definedName name="_1963b">Abdrift!$B$37</definedName>
    <definedName name="_1963c">Abdrift!$C$37</definedName>
    <definedName name="_1963f">Abdrift!$F$37</definedName>
    <definedName name="_1963g">Abdrift!$G$37</definedName>
    <definedName name="_1963h">Abdrift!$H$37</definedName>
    <definedName name="_1963i">Abdrift!$I$37</definedName>
    <definedName name="_1963j">Abdrift!$J$37</definedName>
    <definedName name="_1963k">Abdrift!$K$37</definedName>
    <definedName name="_1963l">Abdrift!$L$37</definedName>
    <definedName name="_1963m">Abdrift!$M$37</definedName>
    <definedName name="_1964">Abdrift!$A$23</definedName>
    <definedName name="_1964b">Abdrift!$B$23</definedName>
    <definedName name="_1964c">Abdrift!$C$23</definedName>
    <definedName name="_1964f">Abdrift!$F$23</definedName>
    <definedName name="_1964g">Abdrift!$G$23</definedName>
    <definedName name="_1964h">Abdrift!$H$23</definedName>
    <definedName name="_1964i">Abdrift!$I$23</definedName>
    <definedName name="_1964j">Abdrift!$J$23</definedName>
    <definedName name="_1964k">Abdrift!$K$23</definedName>
    <definedName name="_1964l">Abdrift!$L$23</definedName>
    <definedName name="_1964m">Abdrift!$M$23</definedName>
    <definedName name="_1965">Abdrift!$A$31</definedName>
    <definedName name="_1965b">Abdrift!$B$31</definedName>
    <definedName name="_1965c">Abdrift!$C$31</definedName>
    <definedName name="_1965f">Abdrift!$F$31</definedName>
    <definedName name="_1965g">Abdrift!$G$31</definedName>
    <definedName name="_1965h">Abdrift!$H$31</definedName>
    <definedName name="_1965i">Abdrift!$I$31</definedName>
    <definedName name="_1965j">Abdrift!$J$31</definedName>
    <definedName name="_1965k">Abdrift!$K$31</definedName>
    <definedName name="_1965l">Abdrift!$L$31</definedName>
    <definedName name="_1965m">Abdrift!$M$31</definedName>
    <definedName name="_1966">Abdrift!$A$34</definedName>
    <definedName name="_1966b">Abdrift!$B$34</definedName>
    <definedName name="_1966c">Abdrift!$C$34</definedName>
    <definedName name="_1966f">Abdrift!$F$34</definedName>
    <definedName name="_1966g">Abdrift!$G$34</definedName>
    <definedName name="_1966h">Abdrift!$H$34</definedName>
    <definedName name="_1966i">Abdrift!$I$34</definedName>
    <definedName name="_1966j">Abdrift!$J$34</definedName>
    <definedName name="_1966k">Abdrift!$K$34</definedName>
    <definedName name="_1966l">Abdrift!$L$34</definedName>
    <definedName name="_1966m">Abdrift!$M$34</definedName>
    <definedName name="_1968">Abdrift!$A$32</definedName>
    <definedName name="_1968b">Abdrift!$B$32</definedName>
    <definedName name="_1968c">Abdrift!$C$32</definedName>
    <definedName name="_1968f">Abdrift!$F$32</definedName>
    <definedName name="_1968g">Abdrift!$G$32</definedName>
    <definedName name="_1968h">Abdrift!$H$32</definedName>
    <definedName name="_1968i">Abdrift!$I$32</definedName>
    <definedName name="_1968j">Abdrift!$J$32</definedName>
    <definedName name="_1968k">Abdrift!$K$32</definedName>
    <definedName name="_1968l">Abdrift!$L$32</definedName>
    <definedName name="_1968m">Abdrift!$M$32</definedName>
    <definedName name="_1972">Abdrift!$A$33</definedName>
    <definedName name="_1972b">Abdrift!$B$33</definedName>
    <definedName name="_1972c">Abdrift!$C$33</definedName>
    <definedName name="_1972f">Abdrift!$F$33</definedName>
    <definedName name="_1972g">Abdrift!$G$33</definedName>
    <definedName name="_1972h">Abdrift!$H$33</definedName>
    <definedName name="_1972i">Abdrift!$I$33</definedName>
    <definedName name="_1972j">Abdrift!$J$33</definedName>
    <definedName name="_1972k">Abdrift!$K$33</definedName>
    <definedName name="_1972l">Abdrift!$L$33</definedName>
    <definedName name="_1972m">Abdrift!$M$33</definedName>
    <definedName name="_1981">Abdrift!$A$80</definedName>
    <definedName name="_1981b">Abdrift!$B$80</definedName>
    <definedName name="_1981c">Abdrift!$C$80</definedName>
    <definedName name="_1981f">Abdrift!$F$80</definedName>
    <definedName name="_1981g">Abdrift!$G$80</definedName>
    <definedName name="_1981h">Abdrift!$H$80</definedName>
    <definedName name="_1981i">Abdrift!$I$80</definedName>
    <definedName name="_1981j">Abdrift!$J$80</definedName>
    <definedName name="_1981k">Abdrift!$K$80</definedName>
    <definedName name="_1981l">Abdrift!$L$80</definedName>
    <definedName name="_1981m">Abdrift!$M$80</definedName>
    <definedName name="_1981n">Abdrift!$N$80</definedName>
    <definedName name="_1981o">Abdrift!$O$80</definedName>
    <definedName name="_1996">Abdrift!$A$4</definedName>
    <definedName name="_1996b">Abdrift!$B$4</definedName>
    <definedName name="_1996c">Abdrift!$C$4</definedName>
    <definedName name="_1996f">Abdrift!$F$4</definedName>
    <definedName name="_1996g">Abdrift!$G$4</definedName>
    <definedName name="_1996h">Abdrift!$H$4</definedName>
    <definedName name="_1996i">Abdrift!$I$4</definedName>
    <definedName name="_1996j">Abdrift!$J$4</definedName>
    <definedName name="_1996k">Abdrift!$K$4</definedName>
    <definedName name="_1996l">Abdrift!$L$4</definedName>
    <definedName name="_1996m">Abdrift!$M$4</definedName>
    <definedName name="_1996n">Abdrift!$N$4</definedName>
    <definedName name="_1996o">Abdrift!$O$4</definedName>
    <definedName name="_1996t">Abdrift!$T$4</definedName>
    <definedName name="_1998">Abdrift!$A$51</definedName>
    <definedName name="_1998b">Abdrift!$B$51</definedName>
    <definedName name="_1998c">Abdrift!$C$51</definedName>
    <definedName name="_1998f">Abdrift!$F$51</definedName>
    <definedName name="_1998g">Abdrift!$G$51</definedName>
    <definedName name="_1998h">Abdrift!$H$51</definedName>
    <definedName name="_1998i">Abdrift!$I$51</definedName>
    <definedName name="_1998j">Abdrift!$J$51</definedName>
    <definedName name="_1998k">Abdrift!$K$51</definedName>
    <definedName name="_1998l">Abdrift!$L$51</definedName>
    <definedName name="_1998m">Abdrift!$M$51</definedName>
    <definedName name="_1998t">Abdrift!$T$51</definedName>
    <definedName name="_2000">Abdrift!$A$75</definedName>
    <definedName name="_2000b">Abdrift!$B$75</definedName>
    <definedName name="_2000c">Abdrift!$C$75</definedName>
    <definedName name="_2000f">Abdrift!$F$75</definedName>
    <definedName name="_2000g">Abdrift!$G$75</definedName>
    <definedName name="_2000h">Abdrift!$H$75</definedName>
    <definedName name="_2000i">Abdrift!$I$75</definedName>
    <definedName name="_2000j">Abdrift!$J$75</definedName>
    <definedName name="_2000k">Abdrift!$K$75</definedName>
    <definedName name="_2000l">Abdrift!$L$75</definedName>
    <definedName name="_2000m">Abdrift!$M$75</definedName>
    <definedName name="_2000t">Abdrift!$T$75</definedName>
    <definedName name="_2015">Abdrift!$A$61</definedName>
    <definedName name="_2015b">Abdrift!$B$61</definedName>
    <definedName name="_2015c">Abdrift!$C$61</definedName>
    <definedName name="_2015f">Abdrift!$F$61</definedName>
    <definedName name="_2015g">Abdrift!$G$61</definedName>
    <definedName name="_2015h">Abdrift!$H$61</definedName>
    <definedName name="_2015i">Abdrift!$I$61</definedName>
    <definedName name="_2015j">Abdrift!$J$61</definedName>
    <definedName name="_2015k">Abdrift!$K$61</definedName>
    <definedName name="_2015l">Abdrift!$L$61</definedName>
    <definedName name="_2015m">Abdrift!$M$61</definedName>
    <definedName name="_2016">Abdrift!$A$63</definedName>
    <definedName name="_2016b">Abdrift!$B$63</definedName>
    <definedName name="_2016c">Abdrift!$C$63</definedName>
    <definedName name="_2016f">Abdrift!$F$63</definedName>
    <definedName name="_2016g">Abdrift!$G$63</definedName>
    <definedName name="_2016h">Abdrift!$H$63</definedName>
    <definedName name="_2016i">Abdrift!$I$63</definedName>
    <definedName name="_2016j">Abdrift!$J$63</definedName>
    <definedName name="_2016k">Abdrift!$K$63</definedName>
    <definedName name="_2016l">Abdrift!$L$63</definedName>
    <definedName name="_2016m">Abdrift!$M$63</definedName>
    <definedName name="_2017">Abdrift!$A$65</definedName>
    <definedName name="_2017b">Abdrift!$B$65</definedName>
    <definedName name="_2017c">Abdrift!$C$65</definedName>
    <definedName name="_2017f">Abdrift!$F$65</definedName>
    <definedName name="_2017g">Abdrift!$G$65</definedName>
    <definedName name="_2017h">Abdrift!$H$65</definedName>
    <definedName name="_2017i">Abdrift!$I$65</definedName>
    <definedName name="_2017j">Abdrift!$J$65</definedName>
    <definedName name="_2017k">Abdrift!$K$65</definedName>
    <definedName name="_2017l">Abdrift!$L$65</definedName>
    <definedName name="_2017m">Abdrift!$M$65</definedName>
    <definedName name="_2018">Abdrift!$A$67</definedName>
    <definedName name="_2018b">Abdrift!$B$67</definedName>
    <definedName name="_2018c">Abdrift!$C$67</definedName>
    <definedName name="_2018f">Abdrift!$F$67</definedName>
    <definedName name="_2018g">Abdrift!$G$67</definedName>
    <definedName name="_2018h">Abdrift!$H$67</definedName>
    <definedName name="_2018i">Abdrift!$I$67</definedName>
    <definedName name="_2018j">Abdrift!$J$67</definedName>
    <definedName name="_2018k">Abdrift!$K$67</definedName>
    <definedName name="_2018l">Abdrift!$L$67</definedName>
    <definedName name="_2018m">Abdrift!$M$67</definedName>
    <definedName name="_2018n">Abdrift!$N$67</definedName>
    <definedName name="_2018o">Abdrift!$O$67</definedName>
    <definedName name="_2019">Abdrift!$A$62</definedName>
    <definedName name="_2019b">Abdrift!$B$62</definedName>
    <definedName name="_2019c">Abdrift!$C$62</definedName>
    <definedName name="_2019f">Abdrift!$F$62</definedName>
    <definedName name="_2019g">Abdrift!$G$62</definedName>
    <definedName name="_2019h">Abdrift!$H$62</definedName>
    <definedName name="_2019i">Abdrift!$I$62</definedName>
    <definedName name="_2019j">Abdrift!$J$62</definedName>
    <definedName name="_2019k">Abdrift!$K$62</definedName>
    <definedName name="_2019l">Abdrift!$L$62</definedName>
    <definedName name="_2019m">Abdrift!$M$62</definedName>
    <definedName name="_2019t">Abdrift!$T$62</definedName>
    <definedName name="_2020">Abdrift!$A$64</definedName>
    <definedName name="_2020b">Abdrift!$B$64</definedName>
    <definedName name="_2020c">Abdrift!$C$64</definedName>
    <definedName name="_2020f">Abdrift!$F$64</definedName>
    <definedName name="_2020g">Abdrift!$G$64</definedName>
    <definedName name="_2020h">Abdrift!$H$64</definedName>
    <definedName name="_2020i">Abdrift!$I$64</definedName>
    <definedName name="_2020j">Abdrift!$J$64</definedName>
    <definedName name="_2020k">Abdrift!$K$64</definedName>
    <definedName name="_2020l">Abdrift!$L$64</definedName>
    <definedName name="_2020m">Abdrift!$M$64</definedName>
    <definedName name="_2020t">Abdrift!$T$64</definedName>
    <definedName name="_2021">Abdrift!$A$66</definedName>
    <definedName name="_2021b">Abdrift!$B$66</definedName>
    <definedName name="_2021c">Abdrift!$C$66</definedName>
    <definedName name="_2021f">Abdrift!$F$66</definedName>
    <definedName name="_2021g">Abdrift!$G$66</definedName>
    <definedName name="_2021h">Abdrift!$H$66</definedName>
    <definedName name="_2021i">Abdrift!$I$66</definedName>
    <definedName name="_2021j">Abdrift!$J$66</definedName>
    <definedName name="_2021k">Abdrift!$K$66</definedName>
    <definedName name="_2021l">Abdrift!$L$66</definedName>
    <definedName name="_2021m">Abdrift!$M$66</definedName>
    <definedName name="_2021n">Abdrift!$N$66</definedName>
    <definedName name="_2021o">Abdrift!$O$66</definedName>
    <definedName name="_2021t">Abdrift!$T$66</definedName>
    <definedName name="_2022">Abdrift!$A$68</definedName>
    <definedName name="_2022b">Abdrift!$B$68</definedName>
    <definedName name="_2022c">Abdrift!$C$68</definedName>
    <definedName name="_2022f">Abdrift!$F$68</definedName>
    <definedName name="_2022g">Abdrift!$G$68</definedName>
    <definedName name="_2022h">Abdrift!$H$68</definedName>
    <definedName name="_2022i">Abdrift!$I$68</definedName>
    <definedName name="_2022j">Abdrift!$J$68</definedName>
    <definedName name="_2022k">Abdrift!$K$68</definedName>
    <definedName name="_2022l">Abdrift!$L$68</definedName>
    <definedName name="_2022m">Abdrift!$M$68</definedName>
    <definedName name="_2022n">Abdrift!$N$68</definedName>
    <definedName name="_2022o">Abdrift!$O$68</definedName>
    <definedName name="_2022t">Abdrift!$T$68</definedName>
    <definedName name="_2046">Abdrift!$A$114</definedName>
    <definedName name="_2046b">Abdrift!$B$114</definedName>
    <definedName name="_2046c">Abdrift!$C$114</definedName>
    <definedName name="_2046f">Abdrift!$F$114</definedName>
    <definedName name="_2046g">Abdrift!$G$114</definedName>
    <definedName name="_2046h">Abdrift!$H$114</definedName>
    <definedName name="_2046i">Abdrift!$I$114</definedName>
    <definedName name="_2046j">Abdrift!$J$114</definedName>
    <definedName name="_2046k">Abdrift!$K$114</definedName>
    <definedName name="_2046l">Abdrift!$L$114</definedName>
    <definedName name="_2046m">Abdrift!$M$114</definedName>
    <definedName name="_2047">Abdrift!$A$115</definedName>
    <definedName name="_2047b">Abdrift!$B$115</definedName>
    <definedName name="_2047c">Abdrift!$C$115</definedName>
    <definedName name="_2047f">Abdrift!$F$115</definedName>
    <definedName name="_2047g">Abdrift!$G$115</definedName>
    <definedName name="_2047h">Abdrift!$H$115</definedName>
    <definedName name="_2047i">Abdrift!$I$115</definedName>
    <definedName name="_2047j">Abdrift!$J$115</definedName>
    <definedName name="_2047k">Abdrift!$K$115</definedName>
    <definedName name="_2047l">Abdrift!$L$115</definedName>
    <definedName name="_2047m">Abdrift!$M$115</definedName>
    <definedName name="_2048">Abdrift!$A$113</definedName>
    <definedName name="_2048b">Abdrift!$B$113</definedName>
    <definedName name="_2048c">Abdrift!$C$113</definedName>
    <definedName name="_2048f">Abdrift!$F$113</definedName>
    <definedName name="_2048g">Abdrift!$G$113</definedName>
    <definedName name="_2048h">Abdrift!$H$113</definedName>
    <definedName name="_2048i">Abdrift!$I$113</definedName>
    <definedName name="_2048j">Abdrift!$J$113</definedName>
    <definedName name="_2048k">Abdrift!$K$113</definedName>
    <definedName name="_2048l">Abdrift!$L$113</definedName>
    <definedName name="_2048m">Abdrift!$M$113</definedName>
    <definedName name="_2049">Abdrift!$A$127</definedName>
    <definedName name="_2049b">Abdrift!$B$127</definedName>
    <definedName name="_2049c">Abdrift!$C$127</definedName>
    <definedName name="_2052">Abdrift!$A$40</definedName>
    <definedName name="_2052b">Abdrift!$B$40</definedName>
    <definedName name="_2052c">Abdrift!$C$40</definedName>
    <definedName name="_2052f">Abdrift!$F$40</definedName>
    <definedName name="_2052g">Abdrift!$G$40</definedName>
    <definedName name="_2052h">Abdrift!$H$40</definedName>
    <definedName name="_2052i">Abdrift!$I$40</definedName>
    <definedName name="_2052j">Abdrift!$J$40</definedName>
    <definedName name="_2052k">Abdrift!$K$40</definedName>
    <definedName name="_2052l">Abdrift!$L$40</definedName>
    <definedName name="_2052m">Abdrift!$M$40</definedName>
    <definedName name="_2052n">Abdrift!$N$40</definedName>
    <definedName name="_2052o">Abdrift!$O$40</definedName>
    <definedName name="_2053">Abdrift!$A$39</definedName>
    <definedName name="_2053b">Abdrift!$B$39</definedName>
    <definedName name="_2053c">Abdrift!$C$39</definedName>
    <definedName name="_2053f">Abdrift!$F$39</definedName>
    <definedName name="_2053g">Abdrift!$G$39</definedName>
    <definedName name="_2053h">Abdrift!$H$39</definedName>
    <definedName name="_2053i">Abdrift!$I$39</definedName>
    <definedName name="_2053j">Abdrift!$J$39</definedName>
    <definedName name="_2053k">Abdrift!$K$39</definedName>
    <definedName name="_2053l">Abdrift!$L$39</definedName>
    <definedName name="_2053m">Abdrift!$M$39</definedName>
    <definedName name="_2053n">Abdrift!$N$39</definedName>
    <definedName name="_2053o">Abdrift!$O$39</definedName>
    <definedName name="_2081">Abdrift!$A$116</definedName>
    <definedName name="_2081b">Abdrift!$B$116</definedName>
    <definedName name="_2081c">Abdrift!$C$116</definedName>
    <definedName name="_2081f">Abdrift!$F$116</definedName>
    <definedName name="_2081g">Abdrift!$G$116</definedName>
    <definedName name="_2081h">Abdrift!$H$116</definedName>
    <definedName name="_2081i">Abdrift!$I$116</definedName>
    <definedName name="_2081j">Abdrift!$J$116</definedName>
    <definedName name="_2081k">Abdrift!$K$116</definedName>
    <definedName name="_2081l">Abdrift!$L$116</definedName>
    <definedName name="_2081m">Abdrift!$M$116</definedName>
    <definedName name="_2084">Abdrift!$A$112</definedName>
    <definedName name="_2084b">Abdrift!$B$112</definedName>
    <definedName name="_2084c">Abdrift!$C$112</definedName>
    <definedName name="_2084f">Abdrift!$F$112</definedName>
    <definedName name="_2084g">Abdrift!$G$112</definedName>
    <definedName name="_2084h">Abdrift!$H$112</definedName>
    <definedName name="_2084i">Abdrift!$I$112</definedName>
    <definedName name="_2084j">Abdrift!$J$112</definedName>
    <definedName name="_2084k">Abdrift!$K$112</definedName>
    <definedName name="_2084l">Abdrift!$L$112</definedName>
    <definedName name="_2084m">Abdrift!$M$112</definedName>
    <definedName name="_2086">Abdrift!$A$30</definedName>
    <definedName name="_2086b">Abdrift!$B$30</definedName>
    <definedName name="_2086c">Abdrift!$C$30</definedName>
    <definedName name="_2086f">Abdrift!$F$30</definedName>
    <definedName name="_2086g">Abdrift!$G$30</definedName>
    <definedName name="_2086h">Abdrift!$H$30</definedName>
    <definedName name="_2086i">Abdrift!$I$30</definedName>
    <definedName name="_2086j">Abdrift!$J$30</definedName>
    <definedName name="_2086k">Abdrift!$K$30</definedName>
    <definedName name="_2086l">Abdrift!$L$30</definedName>
    <definedName name="_2086m">Abdrift!$M$30</definedName>
    <definedName name="_2087">Abdrift!$A$77</definedName>
    <definedName name="_2087b">Abdrift!$B$77</definedName>
    <definedName name="_2087c">Abdrift!$C$77</definedName>
    <definedName name="_2087f">Abdrift!$F$77</definedName>
    <definedName name="_2087g">Abdrift!$G$77</definedName>
    <definedName name="_2087h">Abdrift!$H$77</definedName>
    <definedName name="_2087i">Abdrift!$I$77</definedName>
    <definedName name="_2087j">Abdrift!$J$77</definedName>
    <definedName name="_2087k">Abdrift!$K$77</definedName>
    <definedName name="_2087l">Abdrift!$L$77</definedName>
    <definedName name="_2087m">Abdrift!$M$77</definedName>
    <definedName name="_2087t">Abdrift!$T$77</definedName>
    <definedName name="_2088">Abdrift!$A$35</definedName>
    <definedName name="_2088b">Abdrift!$B$35</definedName>
    <definedName name="_2088c">Abdrift!$C$35</definedName>
    <definedName name="_2088f">Abdrift!$F$35</definedName>
    <definedName name="_2088g">Abdrift!$G$35</definedName>
    <definedName name="_2088h">Abdrift!$H$35</definedName>
    <definedName name="_2088i">Abdrift!$I$35</definedName>
    <definedName name="_2088j">Abdrift!$J$35</definedName>
    <definedName name="_2088k">Abdrift!$K$35</definedName>
    <definedName name="_2088l">Abdrift!$L$35</definedName>
    <definedName name="_2088m">Abdrift!$M$35</definedName>
    <definedName name="_2103">Abdrift!$A$104</definedName>
    <definedName name="_2103b">Abdrift!$B$104</definedName>
    <definedName name="_2103c">Abdrift!$C$104</definedName>
    <definedName name="_2103f">Abdrift!$F$104</definedName>
    <definedName name="_2103g">Abdrift!$G$104</definedName>
    <definedName name="_2103h">Abdrift!$H$104</definedName>
    <definedName name="_2103i">Abdrift!$I$104</definedName>
    <definedName name="_2103j">Abdrift!$J$104</definedName>
    <definedName name="_2103k">Abdrift!$K$104</definedName>
    <definedName name="_2103l">Abdrift!$L$104</definedName>
    <definedName name="_2103m">Abdrift!$M$104</definedName>
    <definedName name="_2104">Abdrift!$A$105</definedName>
    <definedName name="_2104b">Abdrift!$B$105</definedName>
    <definedName name="_2104c">Abdrift!$C$105</definedName>
    <definedName name="_2104f">Abdrift!$F$105</definedName>
    <definedName name="_2104g">Abdrift!$G$105</definedName>
    <definedName name="_2104h">Abdrift!$H$105</definedName>
    <definedName name="_2104i">Abdrift!$I$105</definedName>
    <definedName name="_2104j">Abdrift!$J$105</definedName>
    <definedName name="_2104k">Abdrift!$K$105</definedName>
    <definedName name="_2104l">Abdrift!$L$105</definedName>
    <definedName name="_2104m">Abdrift!$M$105</definedName>
    <definedName name="_2128">Abdrift!$A$81</definedName>
    <definedName name="_2128b">Abdrift!$B$81</definedName>
    <definedName name="_2128c">Abdrift!$C$81</definedName>
    <definedName name="_2128f">Abdrift!$F$81</definedName>
    <definedName name="_2128g">Abdrift!$G$81</definedName>
    <definedName name="_2128h">Abdrift!$H$81</definedName>
    <definedName name="_2128i">Abdrift!$I$81</definedName>
    <definedName name="_2128j">Abdrift!$J$81</definedName>
    <definedName name="_2128k">Abdrift!$K$81</definedName>
    <definedName name="_2128l">Abdrift!$L$81</definedName>
    <definedName name="_2128m">Abdrift!$M$81</definedName>
    <definedName name="_2129">Abdrift!$A$82</definedName>
    <definedName name="_2129b">Abdrift!$B$82</definedName>
    <definedName name="_2129c">Abdrift!$C$82</definedName>
    <definedName name="_2129f">Abdrift!$F$82</definedName>
    <definedName name="_2129g">Abdrift!$G$82</definedName>
    <definedName name="_2129h">Abdrift!$H$82</definedName>
    <definedName name="_2129i">Abdrift!$I$82</definedName>
    <definedName name="_2129j">Abdrift!$J$82</definedName>
    <definedName name="_2129k">Abdrift!$K$82</definedName>
    <definedName name="_2129l">Abdrift!$L$82</definedName>
    <definedName name="_2129m">Abdrift!$M$82</definedName>
    <definedName name="_2156">Abdrift!$A$128</definedName>
    <definedName name="_2156b">Abdrift!$B$128</definedName>
    <definedName name="_2156c">Abdrift!$C$128</definedName>
    <definedName name="_2161">Abdrift!$A$12</definedName>
    <definedName name="_2161b">Abdrift!$B$12</definedName>
    <definedName name="_2161c">Abdrift!$C$12</definedName>
    <definedName name="_2161f">Abdrift!$F$12</definedName>
    <definedName name="_2161g">Abdrift!$G$12</definedName>
    <definedName name="_2161h">Abdrift!$H$12</definedName>
    <definedName name="_2161i">Abdrift!$I$12</definedName>
    <definedName name="_2161j">Abdrift!$J$12</definedName>
    <definedName name="_2161k">Abdrift!$K$12</definedName>
    <definedName name="_2161l">Abdrift!$L$12</definedName>
    <definedName name="_2161m">Abdrift!$M$12</definedName>
    <definedName name="_2185">Abdrift!$A$121</definedName>
    <definedName name="_2185b">Abdrift!$B$121</definedName>
    <definedName name="_2185c">Abdrift!$C$121</definedName>
    <definedName name="_2185f">Abdrift!$F$121</definedName>
    <definedName name="_2185g">Abdrift!$G$121</definedName>
    <definedName name="_2185h">Abdrift!$H$121</definedName>
    <definedName name="_2185i">Abdrift!$I$121</definedName>
    <definedName name="_2185j">Abdrift!$J$121</definedName>
    <definedName name="_2185k">Abdrift!$K$121</definedName>
    <definedName name="_2185l">Abdrift!$L$121</definedName>
    <definedName name="_2185m">Abdrift!$M$121</definedName>
    <definedName name="_2189">Abdrift!$A$122</definedName>
    <definedName name="_2189b">Abdrift!$B$122</definedName>
    <definedName name="_2189c">Abdrift!$C$122</definedName>
    <definedName name="_2189f">Abdrift!$F$122</definedName>
    <definedName name="_2189g">Abdrift!$G$122</definedName>
    <definedName name="_2189h">Abdrift!$H$122</definedName>
    <definedName name="_2189i">Abdrift!$I$122</definedName>
    <definedName name="_2189j">Abdrift!$J$122</definedName>
    <definedName name="_2189k">Abdrift!$K$122</definedName>
    <definedName name="_2189l">Abdrift!$L$122</definedName>
    <definedName name="_2189m">Abdrift!$M$122</definedName>
    <definedName name="_2190">Abdrift!$A$88</definedName>
    <definedName name="_2190b">Abdrift!$B$88</definedName>
    <definedName name="_2190c">Abdrift!$C$88</definedName>
    <definedName name="_2190f">Abdrift!$F$88</definedName>
    <definedName name="_2190g">Abdrift!$G$88</definedName>
    <definedName name="_2190h">Abdrift!$H$88</definedName>
    <definedName name="_2190i">Abdrift!$I$88</definedName>
    <definedName name="_2190j">Abdrift!$J$88</definedName>
    <definedName name="_2190k">Abdrift!$K$88</definedName>
    <definedName name="_2190l">Abdrift!$L$88</definedName>
    <definedName name="_2190m">Abdrift!$M$88</definedName>
    <definedName name="_2193">Abdrift!$A$129</definedName>
    <definedName name="_2193b">Abdrift!$B$129</definedName>
    <definedName name="_2193c">Abdrift!$C$129</definedName>
    <definedName name="_2200">Abdrift!$A$13</definedName>
    <definedName name="_2200b">Abdrift!$B$13</definedName>
    <definedName name="_2200c">Abdrift!$C$13</definedName>
    <definedName name="_2200f">Abdrift!$F$13</definedName>
    <definedName name="_2200g">Abdrift!$G$13</definedName>
    <definedName name="_2200h">Abdrift!$H$13</definedName>
    <definedName name="_2200i">Abdrift!$I$13</definedName>
    <definedName name="_2200j">Abdrift!$J$13</definedName>
    <definedName name="_2200k">Abdrift!$K$13</definedName>
    <definedName name="_2200l">Abdrift!$L$13</definedName>
    <definedName name="_2200m">Abdrift!$M$13</definedName>
    <definedName name="_2204">Abdrift!$A$97</definedName>
    <definedName name="_2204b">Abdrift!$B$97</definedName>
    <definedName name="_2204c">Abdrift!$C$97</definedName>
    <definedName name="_2204f">Abdrift!$F$97</definedName>
    <definedName name="_2204g">Abdrift!$G$97</definedName>
    <definedName name="_2204h">Abdrift!$H$97</definedName>
    <definedName name="_2204i">Abdrift!$I$97</definedName>
    <definedName name="_2204j">Abdrift!$J$97</definedName>
    <definedName name="_2204k">Abdrift!$K$97</definedName>
    <definedName name="_2204l">Abdrift!$L$97</definedName>
    <definedName name="_2204m">Abdrift!$M$97</definedName>
    <definedName name="_2205">Abdrift!$A$98</definedName>
    <definedName name="_2205b">Abdrift!$B$98</definedName>
    <definedName name="_2205c">Abdrift!$C$98</definedName>
    <definedName name="_2205f">Abdrift!$F$98</definedName>
    <definedName name="_2205g">Abdrift!$G$98</definedName>
    <definedName name="_2205h">Abdrift!$H$98</definedName>
    <definedName name="_2205i">Abdrift!$I$98</definedName>
    <definedName name="_2205j">Abdrift!$J$98</definedName>
    <definedName name="_2205k">Abdrift!$K$98</definedName>
    <definedName name="_2205l">Abdrift!$L$98</definedName>
    <definedName name="_2205m">Abdrift!$M$98</definedName>
    <definedName name="_2206">Abdrift!$A$99</definedName>
    <definedName name="_2206b">Abdrift!$B$99</definedName>
    <definedName name="_2206c">Abdrift!$C$99</definedName>
    <definedName name="_2206f">Abdrift!$F$99</definedName>
    <definedName name="_2206g">Abdrift!$G$99</definedName>
    <definedName name="_2206h">Abdrift!$H$99</definedName>
    <definedName name="_2206i">Abdrift!$I$99</definedName>
    <definedName name="_2206j">Abdrift!$J$99</definedName>
    <definedName name="_2206k">Abdrift!$K$99</definedName>
    <definedName name="_2206l">Abdrift!$L$99</definedName>
    <definedName name="_2206m">Abdrift!$M$99</definedName>
    <definedName name="_2207">Abdrift!$A$100</definedName>
    <definedName name="_2207b">Abdrift!$B$100</definedName>
    <definedName name="_2207c">Abdrift!$C$100</definedName>
    <definedName name="_2207f">Abdrift!$F$100</definedName>
    <definedName name="_2207g">Abdrift!$G$100</definedName>
    <definedName name="_2207h">Abdrift!$H$100</definedName>
    <definedName name="_2207i">Abdrift!$I$100</definedName>
    <definedName name="_2207j">Abdrift!$J$100</definedName>
    <definedName name="_2207k">Abdrift!$K$100</definedName>
    <definedName name="_2207l">Abdrift!$L$100</definedName>
    <definedName name="_2207m">Abdrift!$M$100</definedName>
    <definedName name="_2209">Abdrift!$A$96</definedName>
    <definedName name="_2209b">Abdrift!$B$96</definedName>
    <definedName name="_2209c">Abdrift!$C$96</definedName>
    <definedName name="_2209f">Abdrift!$F$96</definedName>
    <definedName name="_2209g">Abdrift!$G$96</definedName>
    <definedName name="_2209h">Abdrift!$H$96</definedName>
    <definedName name="_2209i">Abdrift!$I$96</definedName>
    <definedName name="_2209j">Abdrift!$J$96</definedName>
    <definedName name="_2209k">Abdrift!$K$96</definedName>
    <definedName name="_2209l">Abdrift!$L$96</definedName>
    <definedName name="_2209m">Abdrift!$M$96</definedName>
    <definedName name="_2212">Abdrift!$A$94</definedName>
    <definedName name="_2212b">Abdrift!$B$94</definedName>
    <definedName name="_2212c">Abdrift!$C$94</definedName>
    <definedName name="_2212f">Abdrift!$F$94</definedName>
    <definedName name="_2212g">Abdrift!$G$94</definedName>
    <definedName name="_2212h">Abdrift!$H$94</definedName>
    <definedName name="_2212i">Abdrift!$I$94</definedName>
    <definedName name="_2212j">Abdrift!$J$94</definedName>
    <definedName name="_2212k">Abdrift!$K$94</definedName>
    <definedName name="_2212l">Abdrift!$L$94</definedName>
    <definedName name="_2212m">Abdrift!$M$94</definedName>
    <definedName name="_2213">Abdrift!$A$95</definedName>
    <definedName name="_2213b">Abdrift!$B$95</definedName>
    <definedName name="_2213c">Abdrift!$C$95</definedName>
    <definedName name="_2213f">Abdrift!$F$95</definedName>
    <definedName name="_2213g">Abdrift!$G$95</definedName>
    <definedName name="_2213h">Abdrift!$H$95</definedName>
    <definedName name="_2213i">Abdrift!$I$95</definedName>
    <definedName name="_2213j">Abdrift!$J$95</definedName>
    <definedName name="_2213k">Abdrift!$K$95</definedName>
    <definedName name="_2213l">Abdrift!$L$95</definedName>
    <definedName name="_2213m">Abdrift!$M$95</definedName>
    <definedName name="_2217">Abdrift!$A$90</definedName>
    <definedName name="_2217b">Abdrift!$B$90</definedName>
    <definedName name="_2217c">Abdrift!$C$90</definedName>
    <definedName name="_2217f">Abdrift!$F$90</definedName>
    <definedName name="_2217g">Abdrift!$G$90</definedName>
    <definedName name="_2217h">Abdrift!$H$90</definedName>
    <definedName name="_2217i">Abdrift!$I$90</definedName>
    <definedName name="_2217j">Abdrift!$J$90</definedName>
    <definedName name="_2217k">Abdrift!$K$90</definedName>
    <definedName name="_2217l">Abdrift!$L$90</definedName>
    <definedName name="_2217m">Abdrift!$M$90</definedName>
    <definedName name="_2234">Abdrift!$A$89</definedName>
    <definedName name="_2234b">Abdrift!$B$89</definedName>
    <definedName name="_2234c">Abdrift!$C$89</definedName>
    <definedName name="_2234f">Abdrift!$F$89</definedName>
    <definedName name="_2234g">Abdrift!$G$89</definedName>
    <definedName name="_2234h">Abdrift!$H$89</definedName>
    <definedName name="_2234i">Abdrift!$I$89</definedName>
    <definedName name="_2234j">Abdrift!$J$89</definedName>
    <definedName name="_2234k">Abdrift!$K$89</definedName>
    <definedName name="_2234l">Abdrift!$L$89</definedName>
    <definedName name="_2234M">Abdrift!$M$89</definedName>
    <definedName name="_2242">Abdrift!$A$103</definedName>
    <definedName name="_2242b">Abdrift!$B$103</definedName>
    <definedName name="_2242c">Abdrift!$C$103</definedName>
    <definedName name="_2242d">Abdrift!$D$103</definedName>
    <definedName name="_2242f">Abdrift!$F$103</definedName>
    <definedName name="_2242g">Abdrift!$G$103</definedName>
    <definedName name="_2242h">Abdrift!$H$103</definedName>
    <definedName name="_2242i">Abdrift!$I$103</definedName>
    <definedName name="_2242j">Abdrift!$J$103</definedName>
    <definedName name="_2242k">Abdrift!$K$103</definedName>
    <definedName name="_2242l">Abdrift!$L$103</definedName>
    <definedName name="_2242m">Abdrift!$M$103</definedName>
    <definedName name="_2280">Abdrift!$A$18</definedName>
    <definedName name="_2280b">Abdrift!$B$18</definedName>
    <definedName name="_2280c">Abdrift!$C$18</definedName>
    <definedName name="_2280f">Abdrift!$F$18</definedName>
    <definedName name="_2280g">Abdrift!$G$18</definedName>
    <definedName name="_2280h">Abdrift!$H$18</definedName>
    <definedName name="_2280i">Abdrift!$I$18</definedName>
    <definedName name="_2280j">Abdrift!$J$18</definedName>
    <definedName name="_2280k">Abdrift!$K$18</definedName>
    <definedName name="_2280l">Abdrift!$L$18</definedName>
    <definedName name="_2280m">Abdrift!$M$18</definedName>
    <definedName name="_2281">Abdrift!$A$19</definedName>
    <definedName name="_2281b">Abdrift!$B$19</definedName>
    <definedName name="_2281c">Abdrift!$C$19</definedName>
    <definedName name="_2281f">Abdrift!$F$19</definedName>
    <definedName name="_2281g">Abdrift!$G$19</definedName>
    <definedName name="_2281h">Abdrift!$H$19</definedName>
    <definedName name="_2281i">Abdrift!$I$19</definedName>
    <definedName name="_2281j">Abdrift!$J$19</definedName>
    <definedName name="_2281k">Abdrift!$K$19</definedName>
    <definedName name="_2281l">Abdrift!$L$19</definedName>
    <definedName name="_2281m">Abdrift!$M$19</definedName>
    <definedName name="_2282">Abdrift!$A$17</definedName>
    <definedName name="_2282b">Abdrift!$B$17</definedName>
    <definedName name="_2282c">Abdrift!$C$17</definedName>
    <definedName name="_2282f">Abdrift!$F$17</definedName>
    <definedName name="_2282g">Abdrift!$G$17</definedName>
    <definedName name="_2282h">Abdrift!$H$17</definedName>
    <definedName name="_2282i">Abdrift!$I$17</definedName>
    <definedName name="_2282j">Abdrift!$J$17</definedName>
    <definedName name="_2282k">Abdrift!$K$17</definedName>
    <definedName name="_2282l">Abdrift!$L$17</definedName>
    <definedName name="_2282m">Abdrift!$M$17</definedName>
    <definedName name="_2290">Abdrift!$A$79</definedName>
    <definedName name="_2290b">Abdrift!$B$79</definedName>
    <definedName name="_2290c">Abdrift!$C$79</definedName>
    <definedName name="_2290f">Abdrift!$F$79</definedName>
    <definedName name="_2290g">Abdrift!$G$79</definedName>
    <definedName name="_2290h">Abdrift!$H$79</definedName>
    <definedName name="_2290i">Abdrift!$I$79</definedName>
    <definedName name="_2290j">Abdrift!$J$79</definedName>
    <definedName name="_2290k">Abdrift!$K$79</definedName>
    <definedName name="_2290l">Abdrift!$L$79</definedName>
    <definedName name="_2290m">Abdrift!$M$79</definedName>
    <definedName name="_2290n">Abdrift!$N$79</definedName>
    <definedName name="_2290o">Abdrift!$O$79</definedName>
    <definedName name="_2291">Abdrift!$A$78</definedName>
    <definedName name="_2291b">Abdrift!$B$78</definedName>
    <definedName name="_2291c">Abdrift!$C$78</definedName>
    <definedName name="_2291f">Abdrift!$F$78</definedName>
    <definedName name="_2291g">Abdrift!$G$78</definedName>
    <definedName name="_2291h">Abdrift!$H$78</definedName>
    <definedName name="_2291i">Abdrift!$I$78</definedName>
    <definedName name="_2291j">Abdrift!$J$78</definedName>
    <definedName name="_2291k">Abdrift!$K$78</definedName>
    <definedName name="_2291l">Abdrift!$L$78</definedName>
    <definedName name="_2291m">Abdrift!$M$78</definedName>
    <definedName name="_2291n">Abdrift!$N$78</definedName>
    <definedName name="_2291o">Abdrift!$O$78</definedName>
    <definedName name="_2293">Abdrift!$A$20</definedName>
    <definedName name="_2293b">Abdrift!$B$20</definedName>
    <definedName name="_2293c">Abdrift!$C$20</definedName>
    <definedName name="_2293f">Abdrift!$F$20</definedName>
    <definedName name="_2293g">Abdrift!$G$20</definedName>
    <definedName name="_2293h">Abdrift!$H$20</definedName>
    <definedName name="_2293i">Abdrift!$I$20</definedName>
    <definedName name="_2293j">Abdrift!$J$20</definedName>
    <definedName name="_2293k">Abdrift!$K$20</definedName>
    <definedName name="_2293l">Abdrift!$L$20</definedName>
    <definedName name="_2293m">Abdrift!$M$20</definedName>
    <definedName name="_2294">Abdrift!$A$21</definedName>
    <definedName name="_2294b">Abdrift!$B$21</definedName>
    <definedName name="_2294c">Abdrift!$C$21</definedName>
    <definedName name="_2294f">Abdrift!$F$21</definedName>
    <definedName name="_2294g">Abdrift!$G$21</definedName>
    <definedName name="_2294h">Abdrift!$H$21</definedName>
    <definedName name="_2294i">Abdrift!$I$21</definedName>
    <definedName name="_2294j">Abdrift!$J$21</definedName>
    <definedName name="_2294k">Abdrift!$K$21</definedName>
    <definedName name="_2294l">Abdrift!$L$21</definedName>
    <definedName name="_2294m">Abdrift!$M$21</definedName>
    <definedName name="_2295">Abdrift!$A$22</definedName>
    <definedName name="_2295b">Abdrift!$B$22</definedName>
    <definedName name="_2295c">Abdrift!$C$22</definedName>
    <definedName name="_2295f">Abdrift!$F$22</definedName>
    <definedName name="_2295g">Abdrift!$G$22</definedName>
    <definedName name="_2295h">Abdrift!$H$22</definedName>
    <definedName name="_2295i">Abdrift!$I$22</definedName>
    <definedName name="_2295j">Abdrift!$J$22</definedName>
    <definedName name="_2295k">Abdrift!$K$22</definedName>
    <definedName name="_2295l">Abdrift!$L$22</definedName>
    <definedName name="_2295m">Abdrift!$M$22</definedName>
    <definedName name="_2300">Abdrift!$A$41</definedName>
    <definedName name="_2300b">Abdrift!$B$41</definedName>
    <definedName name="_2300c">Abdrift!$C$41</definedName>
    <definedName name="_2300f">Abdrift!$F$41</definedName>
    <definedName name="_2300g">Abdrift!$G$41</definedName>
    <definedName name="_2300h">Abdrift!$H$41</definedName>
    <definedName name="_2300i">Abdrift!$I$41</definedName>
    <definedName name="_2300j">Abdrift!$J$41</definedName>
    <definedName name="_2300k">Abdrift!$K$41</definedName>
    <definedName name="_2300l">Abdrift!$L$41</definedName>
    <definedName name="_2300m">Abdrift!$M$41</definedName>
    <definedName name="_2300n">Abdrift!$N$41</definedName>
    <definedName name="_2300o">Abdrift!$O$41</definedName>
    <definedName name="_2311">Abdrift!$A$42</definedName>
    <definedName name="_2311b">Abdrift!$B$42</definedName>
    <definedName name="_2311c">Abdrift!$C$42</definedName>
    <definedName name="_2311f">Abdrift!$F$42</definedName>
    <definedName name="_2311g">Abdrift!$G$42</definedName>
    <definedName name="_2311h">Abdrift!$H$42</definedName>
    <definedName name="_2311i">Abdrift!$I$42</definedName>
    <definedName name="_2311j">Abdrift!$J$42</definedName>
    <definedName name="_2311k">Abdrift!$K$42</definedName>
    <definedName name="_2311l">Abdrift!$L$42</definedName>
    <definedName name="_2311m">Abdrift!$M$42</definedName>
    <definedName name="_2311n">Abdrift!$N$42</definedName>
    <definedName name="_2311o">Abdrift!$O$42</definedName>
    <definedName name="_ABW">'[1]vK Querverteilung'!$C$15:$C$134,'[1]vK Querverteilung'!$H$15:$H$134,'[1]vK Querverteilung'!$M$15:$M$134,'[1]vK Querverteilung'!$R$15:$R$134</definedName>
    <definedName name="_b1753">Abdrift!$A$70</definedName>
    <definedName name="_b1753b">Abdrift!$B$70</definedName>
    <definedName name="_b1753c">Abdrift!$C$70</definedName>
    <definedName name="_b1753f">Abdrift!$F$70</definedName>
    <definedName name="_b1753g">Abdrift!$G$70</definedName>
    <definedName name="_b1753h">Abdrift!$H$70</definedName>
    <definedName name="_b1753i">Abdrift!$I$70</definedName>
    <definedName name="_b1753j">Abdrift!$J$70</definedName>
    <definedName name="_b1753k">Abdrift!$K$70</definedName>
    <definedName name="_b1753l">Abdrift!$L$70</definedName>
    <definedName name="_b1753m">Abdrift!$M$70</definedName>
    <definedName name="_b1753t">Abdrift!$T$70</definedName>
    <definedName name="_b1754">Abdrift!$A$72</definedName>
    <definedName name="_b1754b">Abdrift!$B$72</definedName>
    <definedName name="_b1754c">Abdrift!$C$72</definedName>
    <definedName name="_b1754f">Abdrift!$F$72</definedName>
    <definedName name="_b1754g">Abdrift!$G$72</definedName>
    <definedName name="_b1754h">Abdrift!$H$72</definedName>
    <definedName name="_b1754i">Abdrift!$I$72</definedName>
    <definedName name="_b1754j">Abdrift!$J$72</definedName>
    <definedName name="_b1754k">Abdrift!$K$72</definedName>
    <definedName name="_b1754l">Abdrift!$L$72</definedName>
    <definedName name="_b1754m">Abdrift!$M$72</definedName>
    <definedName name="_b1754t">Abdrift!$T$72</definedName>
    <definedName name="_b1755">Abdrift!$A$74</definedName>
    <definedName name="_b1755b">Abdrift!$B$74</definedName>
    <definedName name="_b1755c">Abdrift!$C$74</definedName>
    <definedName name="_b1755f">Abdrift!$F$74</definedName>
    <definedName name="_b1755g">Abdrift!$G$74</definedName>
    <definedName name="_b1755h">Abdrift!$H$74</definedName>
    <definedName name="_b1755i">Abdrift!$I$74</definedName>
    <definedName name="_b1755j">Abdrift!$J$74</definedName>
    <definedName name="_b1755k">Abdrift!$K$74</definedName>
    <definedName name="_b1755l">Abdrift!$L$74</definedName>
    <definedName name="_b1755m">Abdrift!$M$74</definedName>
    <definedName name="_b1755t">Abdrift!$T$74</definedName>
    <definedName name="_b1758">Abdrift!$A$15</definedName>
    <definedName name="_b1758b">Abdrift!$B$15</definedName>
    <definedName name="_b1758c">Abdrift!$C$15</definedName>
    <definedName name="_b1758f">Abdrift!$F$15</definedName>
    <definedName name="_b1758g">Abdrift!$G$15</definedName>
    <definedName name="_b1758h">Abdrift!$H$15</definedName>
    <definedName name="_b1758i">Abdrift!$I$15</definedName>
    <definedName name="_b1758j">Abdrift!$J$15</definedName>
    <definedName name="_b1758k">Abdrift!$K$15</definedName>
    <definedName name="_b1758l">Abdrift!$L$15</definedName>
    <definedName name="_b1758m">Abdrift!$M$15</definedName>
    <definedName name="_b1758t">Abdrift!$T$15</definedName>
    <definedName name="_b1779">Abdrift!$A$119</definedName>
    <definedName name="_b1779b">Abdrift!$B$119</definedName>
    <definedName name="_b1779c">Abdrift!$C$119</definedName>
    <definedName name="_b1779f">Abdrift!$F$119</definedName>
    <definedName name="_b1779g">Abdrift!$G$119</definedName>
    <definedName name="_b1779h">Abdrift!$H$119</definedName>
    <definedName name="_b1779i">Abdrift!$I$119</definedName>
    <definedName name="_b1779j">Abdrift!$J$119</definedName>
    <definedName name="_b1779k">Abdrift!$K$119</definedName>
    <definedName name="_b1779l">Abdrift!$L$119</definedName>
    <definedName name="_b1779m">Abdrift!$M$119</definedName>
    <definedName name="_b1780">Abdrift!$A$120</definedName>
    <definedName name="_b1780b">Abdrift!$B$120</definedName>
    <definedName name="_b1780c">Abdrift!$C$120</definedName>
    <definedName name="_b1780f">Abdrift!$F$120</definedName>
    <definedName name="_b1780g">Abdrift!$G$120</definedName>
    <definedName name="_b1780h">Abdrift!$H$120</definedName>
    <definedName name="_b1780i">Abdrift!$I$120</definedName>
    <definedName name="_b1780j">Abdrift!$J$120</definedName>
    <definedName name="_b1780k">Abdrift!$K$120</definedName>
    <definedName name="_b1780l">Abdrift!$L$120</definedName>
    <definedName name="_b1780m">Abdrift!$M$120</definedName>
    <definedName name="_b1787">Abdrift!$A$46</definedName>
    <definedName name="_b1787b">Abdrift!$B$46</definedName>
    <definedName name="_b1787c">Abdrift!$C$46</definedName>
    <definedName name="_b1787f">Abdrift!$F$46</definedName>
    <definedName name="_b1787g">Abdrift!$G$46</definedName>
    <definedName name="_b1787h">Abdrift!$H$46</definedName>
    <definedName name="_b1787i">Abdrift!$I$46</definedName>
    <definedName name="_b1787j">Abdrift!$J$46</definedName>
    <definedName name="_b1787k">Abdrift!$K$46</definedName>
    <definedName name="_b1787l">Abdrift!$L$46</definedName>
    <definedName name="_b1787m">Abdrift!$M$46</definedName>
    <definedName name="_b1787t">Abdrift!$T$46</definedName>
    <definedName name="_b1788">Abdrift!$A$48</definedName>
    <definedName name="_b1788b">Abdrift!$B$48</definedName>
    <definedName name="_b1788c">Abdrift!$C$48</definedName>
    <definedName name="_b1788f">Abdrift!$F$48</definedName>
    <definedName name="_b1788g">Abdrift!$G$48</definedName>
    <definedName name="_b1788h">Abdrift!$H$48</definedName>
    <definedName name="_b1788i">Abdrift!$I$48</definedName>
    <definedName name="_b1788j">Abdrift!$J$48</definedName>
    <definedName name="_b1788k">Abdrift!$K$48</definedName>
    <definedName name="_b1788l">Abdrift!$L$48</definedName>
    <definedName name="_b1788m">Abdrift!$M$48</definedName>
    <definedName name="_b1788t">Abdrift!$T$48</definedName>
    <definedName name="_b1789">Abdrift!$A$50</definedName>
    <definedName name="_b1789b">Abdrift!$B$50</definedName>
    <definedName name="_b1789c">Abdrift!$C$50</definedName>
    <definedName name="_b1789f">Abdrift!$F$50</definedName>
    <definedName name="_b1789g">Abdrift!$G$50</definedName>
    <definedName name="_b1789h">Abdrift!$H$50</definedName>
    <definedName name="_b1789i">Abdrift!$I$50</definedName>
    <definedName name="_b1789j">Abdrift!$J$50</definedName>
    <definedName name="_b1789k">Abdrift!$K$50</definedName>
    <definedName name="_b1789l">Abdrift!$L$50</definedName>
    <definedName name="_b1789m">Abdrift!$M$50</definedName>
    <definedName name="_b1789t">Abdrift!$T$50</definedName>
    <definedName name="_b1892">Abdrift!$A$7</definedName>
    <definedName name="_b1892b">Abdrift!$B$7</definedName>
    <definedName name="_b1892c">Abdrift!$C$7</definedName>
    <definedName name="_b1892f">Abdrift!$F$7</definedName>
    <definedName name="_b1892g">Abdrift!$G$7</definedName>
    <definedName name="_b1892h">Abdrift!$H$7</definedName>
    <definedName name="_b1892i">Abdrift!$I$7</definedName>
    <definedName name="_b1892j">Abdrift!$J$7</definedName>
    <definedName name="_b1892k">Abdrift!$K$7</definedName>
    <definedName name="_b1892l">Abdrift!$L$7</definedName>
    <definedName name="_b1892m">Abdrift!$M$7</definedName>
    <definedName name="_b1892t">Abdrift!$T$7</definedName>
    <definedName name="_b1893">Abdrift!$A$10</definedName>
    <definedName name="_b1893b">Abdrift!$B$10</definedName>
    <definedName name="_b1893c">Abdrift!$C$10</definedName>
    <definedName name="_b1893f">Abdrift!$F$10</definedName>
    <definedName name="_b1893g">Abdrift!$G$10</definedName>
    <definedName name="_b1893h">Abdrift!$H$10</definedName>
    <definedName name="_b1893i">Abdrift!$I$10</definedName>
    <definedName name="_b1893j">Abdrift!$J$10</definedName>
    <definedName name="_b1893k">Abdrift!$K$10</definedName>
    <definedName name="_b1893l">Abdrift!$L$10</definedName>
    <definedName name="_b1893m">Abdrift!$M$10</definedName>
    <definedName name="_b1893t">Abdrift!$T$10</definedName>
    <definedName name="_b1998">Abdrift!$A$52</definedName>
    <definedName name="_b1998b">Abdrift!$B$52</definedName>
    <definedName name="_b1998c">Abdrift!$C$52</definedName>
    <definedName name="_b1998f">Abdrift!$F$52</definedName>
    <definedName name="_b1998g">Abdrift!$G$52</definedName>
    <definedName name="_b1998h">Abdrift!$H$52</definedName>
    <definedName name="_b1998i">Abdrift!$I$52</definedName>
    <definedName name="_b1998j">Abdrift!$J$52</definedName>
    <definedName name="_b1998k">Abdrift!$K$52</definedName>
    <definedName name="_b1998l">Abdrift!$L$52</definedName>
    <definedName name="_b1998m">Abdrift!$M$52</definedName>
    <definedName name="_b1998t">Abdrift!$T$52</definedName>
    <definedName name="_b2000">Abdrift!$A$76</definedName>
    <definedName name="_b2000b">Abdrift!$B$76</definedName>
    <definedName name="_b2000c">Abdrift!$C$76</definedName>
    <definedName name="_b2000f">Abdrift!$F$76</definedName>
    <definedName name="_b2000g">Abdrift!$G$76</definedName>
    <definedName name="_b2000h">Abdrift!$H$76</definedName>
    <definedName name="_b2000i">Abdrift!$I$76</definedName>
    <definedName name="_b2000j">Abdrift!$J$76</definedName>
    <definedName name="_b2000k">Abdrift!$K$76</definedName>
    <definedName name="_b2000l">Abdrift!$L$76</definedName>
    <definedName name="_b2000m">Abdrift!$M$76</definedName>
    <definedName name="_b2000n">Abdrift!$N$76</definedName>
    <definedName name="_b2000o">Abdrift!$O$76</definedName>
    <definedName name="_b2000t">Abdrift!$T$76</definedName>
    <definedName name="_b2018">Abdrift!$A$91</definedName>
    <definedName name="_b2018b">Abdrift!$B$91</definedName>
    <definedName name="_b2018c">Abdrift!$C$91</definedName>
    <definedName name="_b2018f">Abdrift!$F$91</definedName>
    <definedName name="_b2018g">Abdrift!$G$91</definedName>
    <definedName name="_b2018h">Abdrift!$H$91</definedName>
    <definedName name="_b2018i">Abdrift!$I$91</definedName>
    <definedName name="_b2018j">Abdrift!$J$91</definedName>
    <definedName name="_b2018k">Abdrift!$K$91</definedName>
    <definedName name="_b2018l">Abdrift!$L$91</definedName>
    <definedName name="_b2018m">Abdrift!$M$91</definedName>
    <definedName name="_b2019">Abdrift!$A$92</definedName>
    <definedName name="_b2019b">Abdrift!$B$92</definedName>
    <definedName name="_b2019c">Abdrift!$C$92</definedName>
    <definedName name="_b2019f">Abdrift!$F$92</definedName>
    <definedName name="_b2019g">Abdrift!$G$92</definedName>
    <definedName name="_b2019h">Abdrift!$H$92</definedName>
    <definedName name="_b2019i">Abdrift!$I$92</definedName>
    <definedName name="_b2019j">Abdrift!$J$92</definedName>
    <definedName name="_b2019k">Abdrift!$K$92</definedName>
    <definedName name="_b2019l">Abdrift!$L$92</definedName>
    <definedName name="_b2019m">Abdrift!$M$92</definedName>
    <definedName name="_b2020">Abdrift!$A$93</definedName>
    <definedName name="_b2020b">Abdrift!$B$93</definedName>
    <definedName name="_b2020c">Abdrift!$C$93</definedName>
    <definedName name="_b2020f">Abdrift!$F$93</definedName>
    <definedName name="_b2020g">Abdrift!$G$93</definedName>
    <definedName name="_b2020h">Abdrift!$H$93</definedName>
    <definedName name="_b2020i">Abdrift!$I$93</definedName>
    <definedName name="_b2020j">Abdrift!$J$93</definedName>
    <definedName name="_b2020k">Abdrift!$K$93</definedName>
    <definedName name="_b2020l">Abdrift!$L$93</definedName>
    <definedName name="_b2020m">Abdrift!$M$93</definedName>
    <definedName name="_b2020n">Abdrift!$N$93</definedName>
    <definedName name="_b2020o">Abdrift!$O$93</definedName>
    <definedName name="_c1892">Abdrift!$A$8</definedName>
    <definedName name="_c1892b">Abdrift!$B$8</definedName>
    <definedName name="_c1892c">Abdrift!$C$8</definedName>
    <definedName name="_c1892f">Abdrift!$F$8</definedName>
    <definedName name="_c1892g">Abdrift!$G$8</definedName>
    <definedName name="_c1892h">Abdrift!$H$8</definedName>
    <definedName name="_c1892i">Abdrift!$I$8</definedName>
    <definedName name="_c1892j">Abdrift!$J$8</definedName>
    <definedName name="_c1892k">Abdrift!$K$8</definedName>
    <definedName name="_c1892l">Abdrift!$L$8</definedName>
    <definedName name="_c1892m">Abdrift!$M$8</definedName>
    <definedName name="_c1892t">Abdrift!$T$8</definedName>
    <definedName name="_d1892">Abdrift!$A$55</definedName>
    <definedName name="_d1892b">Abdrift!$B$55</definedName>
    <definedName name="_d1892c">Abdrift!$C$55</definedName>
    <definedName name="_d1892f">Abdrift!$F$55</definedName>
    <definedName name="_d1892g">Abdrift!$G$55</definedName>
    <definedName name="_d1892h">Abdrift!$H$55</definedName>
    <definedName name="_d1892i">Abdrift!$I$55</definedName>
    <definedName name="_d1892j">Abdrift!$J$55</definedName>
    <definedName name="_d1892k">Abdrift!$K$55</definedName>
    <definedName name="_d1892l">Abdrift!$L$55</definedName>
    <definedName name="_d1892m">Abdrift!$M$55</definedName>
    <definedName name="_Fill" localSheetId="0" hidden="1">[2]MESS!$AC$184:$AC$233</definedName>
    <definedName name="_Fill" localSheetId="1" hidden="1">[2]MESS!$AC$184:$AC$233</definedName>
    <definedName name="_Fill" hidden="1">[3]MESS!$AC$184:$AC$233</definedName>
    <definedName name="_xlnm._FilterDatabase" localSheetId="0" hidden="1">Abdrift!$A$1:$W$1</definedName>
    <definedName name="_MW">'[1]vK Querverteilung'!$B$15:$B$74,'[1]vK Querverteilung'!$G$15:$G$74,'[1]vK Querverteilung'!$L$15:$L$74,'[1]vK Querverteilung'!$Q$15:$Q$74</definedName>
    <definedName name="_spb2" localSheetId="7">#REF!,#REF!,#REF!</definedName>
    <definedName name="_spb2" localSheetId="8">#REF!,#REF!,#REF!</definedName>
    <definedName name="_spb2" localSheetId="28">#REF!,#REF!,#REF!</definedName>
    <definedName name="_spb2" localSheetId="30">#REF!,#REF!,#REF!</definedName>
    <definedName name="_spb2" localSheetId="19">#REF!,#REF!,#REF!</definedName>
    <definedName name="_spb2" localSheetId="2">#REF!,#REF!,#REF!</definedName>
    <definedName name="_spb2">#REF!,#REF!,#REF!</definedName>
    <definedName name="_spd2" localSheetId="7">#REF!,#REF!,#REF!,#REF!,#REF!</definedName>
    <definedName name="_spd2" localSheetId="8">#REF!,#REF!,#REF!,#REF!,#REF!</definedName>
    <definedName name="_spd2" localSheetId="28">#REF!,#REF!,#REF!,#REF!,#REF!</definedName>
    <definedName name="_spd2" localSheetId="30">#REF!,#REF!,#REF!,#REF!,#REF!</definedName>
    <definedName name="_spd2" localSheetId="19">#REF!,#REF!,#REF!,#REF!,#REF!</definedName>
    <definedName name="_spd2" localSheetId="2">#REF!,#REF!,#REF!,#REF!,#REF!</definedName>
    <definedName name="_spd2">#REF!,#REF!,#REF!,#REF!,#REF!</definedName>
    <definedName name="_spd3" localSheetId="7">#REF!,#REF!,#REF!,#REF!,#REF!</definedName>
    <definedName name="_spd3" localSheetId="8">#REF!,#REF!,#REF!,#REF!,#REF!</definedName>
    <definedName name="_spd3" localSheetId="28">#REF!,#REF!,#REF!,#REF!,#REF!</definedName>
    <definedName name="_spd3" localSheetId="30">#REF!,#REF!,#REF!,#REF!,#REF!</definedName>
    <definedName name="_spd3" localSheetId="19">#REF!,#REF!,#REF!,#REF!,#REF!</definedName>
    <definedName name="_spd3" localSheetId="2">#REF!,#REF!,#REF!,#REF!,#REF!</definedName>
    <definedName name="_spd3">#REF!,#REF!,#REF!,#REF!,#REF!</definedName>
    <definedName name="_Werte">'[1]vK Querverteilung'!$B$15:$B$134,'[1]vK Querverteilung'!$G$15:$G$134,'[1]vK Querverteilung'!$L$15:$L$134,'[1]vK Querverteilung'!$Q$15:$Q$134</definedName>
    <definedName name="_Werte1">'[1]vK Querverteilung'!$D$15:$D$134,'[1]vK Querverteilung'!$I$15:$I$134,'[1]vK Querverteilung'!$N$15:$N$134,'[1]vK Querverteilung'!$S$15:$S$134</definedName>
    <definedName name="bar" localSheetId="7">#REF!</definedName>
    <definedName name="bar" localSheetId="8">#REF!</definedName>
    <definedName name="bar" localSheetId="28">#REF!</definedName>
    <definedName name="bar" localSheetId="30">#REF!</definedName>
    <definedName name="bar" localSheetId="19">#REF!</definedName>
    <definedName name="bar" localSheetId="0">#REF!</definedName>
    <definedName name="bar" localSheetId="9">#REF!</definedName>
    <definedName name="bar" localSheetId="5">#REF!</definedName>
    <definedName name="bar" localSheetId="26">#REF!</definedName>
    <definedName name="bar" localSheetId="13">#REF!</definedName>
    <definedName name="bar" localSheetId="17">#REF!</definedName>
    <definedName name="bar" localSheetId="22">#REF!</definedName>
    <definedName name="bar" localSheetId="32">#REF!</definedName>
    <definedName name="bar" localSheetId="33">#REF!</definedName>
    <definedName name="bar" localSheetId="34">#REF!</definedName>
    <definedName name="bar" localSheetId="29">#REF!</definedName>
    <definedName name="bar" localSheetId="11">#REF!</definedName>
    <definedName name="bar" localSheetId="31">#REF!</definedName>
    <definedName name="bar" localSheetId="15">#REF!</definedName>
    <definedName name="bar" localSheetId="20">#REF!</definedName>
    <definedName name="bar" localSheetId="10">#REF!</definedName>
    <definedName name="bar" localSheetId="6">#REF!</definedName>
    <definedName name="bar" localSheetId="27">#REF!</definedName>
    <definedName name="bar" localSheetId="14">#REF!</definedName>
    <definedName name="bar" localSheetId="18">#REF!</definedName>
    <definedName name="bar" localSheetId="23">#REF!</definedName>
    <definedName name="bar" localSheetId="4">#REF!</definedName>
    <definedName name="bar" localSheetId="25">#REF!</definedName>
    <definedName name="bar" localSheetId="12">#REF!</definedName>
    <definedName name="bar" localSheetId="16">#REF!</definedName>
    <definedName name="bar" localSheetId="21">#REF!</definedName>
    <definedName name="bar" localSheetId="3">#REF!</definedName>
    <definedName name="bar" localSheetId="1">#REF!</definedName>
    <definedName name="bar" localSheetId="2">#REF!</definedName>
    <definedName name="bar">#REF!</definedName>
    <definedName name="Dropleg" localSheetId="7">#REF!</definedName>
    <definedName name="Dropleg" localSheetId="8">#REF!</definedName>
    <definedName name="Dropleg" localSheetId="28">#REF!</definedName>
    <definedName name="Dropleg" localSheetId="30">#REF!</definedName>
    <definedName name="Dropleg" localSheetId="19">#REF!</definedName>
    <definedName name="Dropleg" localSheetId="0">#REF!</definedName>
    <definedName name="Dropleg" localSheetId="9">#REF!</definedName>
    <definedName name="Dropleg" localSheetId="5">#REF!</definedName>
    <definedName name="Dropleg" localSheetId="26">#REF!</definedName>
    <definedName name="Dropleg" localSheetId="13">#REF!</definedName>
    <definedName name="Dropleg" localSheetId="17">#REF!</definedName>
    <definedName name="Dropleg" localSheetId="22">#REF!</definedName>
    <definedName name="Dropleg" localSheetId="32">#REF!</definedName>
    <definedName name="Dropleg" localSheetId="33">#REF!</definedName>
    <definedName name="Dropleg" localSheetId="34">#REF!</definedName>
    <definedName name="Dropleg" localSheetId="29">#REF!</definedName>
    <definedName name="Dropleg" localSheetId="11">#REF!</definedName>
    <definedName name="Dropleg" localSheetId="31">#REF!</definedName>
    <definedName name="Dropleg" localSheetId="15">#REF!</definedName>
    <definedName name="Dropleg" localSheetId="20">#REF!</definedName>
    <definedName name="Dropleg" localSheetId="10">#REF!</definedName>
    <definedName name="Dropleg" localSheetId="6">#REF!</definedName>
    <definedName name="Dropleg" localSheetId="27">#REF!</definedName>
    <definedName name="Dropleg" localSheetId="14">#REF!</definedName>
    <definedName name="Dropleg" localSheetId="18">#REF!</definedName>
    <definedName name="Dropleg" localSheetId="23">#REF!</definedName>
    <definedName name="Dropleg" localSheetId="4">#REF!</definedName>
    <definedName name="Dropleg" localSheetId="25">#REF!</definedName>
    <definedName name="Dropleg" localSheetId="12">#REF!</definedName>
    <definedName name="Dropleg" localSheetId="16">#REF!</definedName>
    <definedName name="Dropleg" localSheetId="21">#REF!</definedName>
    <definedName name="Dropleg">#REF!</definedName>
    <definedName name="i">Abdrift!$I$92</definedName>
    <definedName name="Messwerte">'[1]vK Querverteilung'!$B$15:$B$74,'[1]vK Querverteilung'!$G$15:$G$74</definedName>
    <definedName name="spAnzahlQ" localSheetId="7">#REF!,#REF!,#REF!,#REF!,#REF!</definedName>
    <definedName name="spAnzahlQ" localSheetId="8">#REF!,#REF!,#REF!,#REF!,#REF!</definedName>
    <definedName name="spAnzahlQ" localSheetId="28">#REF!,#REF!,#REF!,#REF!,#REF!</definedName>
    <definedName name="spAnzahlQ" localSheetId="30">#REF!,#REF!,#REF!,#REF!,#REF!</definedName>
    <definedName name="spAnzahlQ" localSheetId="19">#REF!,#REF!,#REF!,#REF!,#REF!</definedName>
    <definedName name="spAnzahlQ" localSheetId="2">#REF!,#REF!,#REF!,#REF!,#REF!</definedName>
    <definedName name="spAnzahlQ">#REF!,#REF!,#REF!,#REF!,#REF!</definedName>
    <definedName name="spb" localSheetId="7">#REF!</definedName>
    <definedName name="spb" localSheetId="8">#REF!</definedName>
    <definedName name="spb" localSheetId="28">#REF!</definedName>
    <definedName name="spb" localSheetId="30">#REF!</definedName>
    <definedName name="spb" localSheetId="19">#REF!</definedName>
    <definedName name="spb" localSheetId="0">#REF!</definedName>
    <definedName name="spb" localSheetId="9">#REF!</definedName>
    <definedName name="spb" localSheetId="5">#REF!</definedName>
    <definedName name="spb" localSheetId="26">#REF!</definedName>
    <definedName name="spb" localSheetId="13">#REF!</definedName>
    <definedName name="spb" localSheetId="17">#REF!</definedName>
    <definedName name="spb" localSheetId="22">#REF!</definedName>
    <definedName name="spb" localSheetId="32">#REF!</definedName>
    <definedName name="spb" localSheetId="33">#REF!</definedName>
    <definedName name="spb" localSheetId="34">#REF!</definedName>
    <definedName name="spb" localSheetId="29">#REF!</definedName>
    <definedName name="spb" localSheetId="11">#REF!</definedName>
    <definedName name="spb" localSheetId="31">#REF!</definedName>
    <definedName name="spb" localSheetId="15">#REF!</definedName>
    <definedName name="spb" localSheetId="20">#REF!</definedName>
    <definedName name="spb" localSheetId="10">#REF!</definedName>
    <definedName name="spb" localSheetId="6">#REF!</definedName>
    <definedName name="spb" localSheetId="27">#REF!</definedName>
    <definedName name="spb" localSheetId="14">#REF!</definedName>
    <definedName name="spb" localSheetId="18">#REF!</definedName>
    <definedName name="spb" localSheetId="23">#REF!</definedName>
    <definedName name="spb" localSheetId="4">#REF!</definedName>
    <definedName name="spb" localSheetId="25">#REF!</definedName>
    <definedName name="spb" localSheetId="12">#REF!</definedName>
    <definedName name="spb" localSheetId="16">#REF!</definedName>
    <definedName name="spb" localSheetId="21">#REF!</definedName>
    <definedName name="spb" localSheetId="3">#REF!</definedName>
    <definedName name="spb" localSheetId="1">#REF!</definedName>
    <definedName name="spb" localSheetId="2">#REF!</definedName>
    <definedName name="spb">#REF!</definedName>
    <definedName name="spd">'[4]VK-Berechnung, Düsenausstoß'!$D$17:$D$76</definedName>
    <definedName name="spi">'[5]VK-Berechnung, Düsenausstoß'!$I$22:$I$61</definedName>
    <definedName name="spk">'[5]VK-Berechnung, Düsenausstoß'!$K$22:$K$61</definedName>
    <definedName name="spMaxQ" localSheetId="7">#REF!,#REF!,#REF!,#REF!,#REF!</definedName>
    <definedName name="spMaxQ" localSheetId="8">#REF!,#REF!,#REF!,#REF!,#REF!</definedName>
    <definedName name="spMaxQ" localSheetId="28">#REF!,#REF!,#REF!,#REF!,#REF!</definedName>
    <definedName name="spMaxQ" localSheetId="30">#REF!,#REF!,#REF!,#REF!,#REF!</definedName>
    <definedName name="spMaxQ" localSheetId="19">#REF!,#REF!,#REF!,#REF!,#REF!</definedName>
    <definedName name="spMaxQ" localSheetId="2">#REF!,#REF!,#REF!,#REF!,#REF!</definedName>
    <definedName name="spMaxQ">#REF!,#REF!,#REF!,#REF!,#REF!</definedName>
    <definedName name="vj">Abdrift!$J$84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6" l="1"/>
  <c r="C21" i="36" s="1"/>
  <c r="B18" i="36"/>
  <c r="C13" i="36"/>
  <c r="B13" i="36" s="1"/>
  <c r="P10" i="36"/>
  <c r="N10" i="36"/>
  <c r="L10" i="36"/>
  <c r="M10" i="36" s="1"/>
  <c r="J10" i="36"/>
  <c r="D10" i="36"/>
  <c r="C10" i="36"/>
  <c r="B10" i="36"/>
  <c r="P9" i="36"/>
  <c r="N9" i="36"/>
  <c r="L9" i="36"/>
  <c r="M9" i="36" s="1"/>
  <c r="J9" i="36"/>
  <c r="D9" i="36"/>
  <c r="C9" i="36"/>
  <c r="B9" i="36"/>
  <c r="P8" i="36"/>
  <c r="N8" i="36"/>
  <c r="L8" i="36"/>
  <c r="M8" i="36" s="1"/>
  <c r="J8" i="36"/>
  <c r="D8" i="36"/>
  <c r="C8" i="36"/>
  <c r="B8" i="36"/>
  <c r="P7" i="36"/>
  <c r="N7" i="36"/>
  <c r="L7" i="36"/>
  <c r="M7" i="36" s="1"/>
  <c r="J7" i="36"/>
  <c r="D7" i="36"/>
  <c r="C7" i="36"/>
  <c r="B7" i="36"/>
  <c r="P6" i="36"/>
  <c r="N6" i="36"/>
  <c r="L6" i="36"/>
  <c r="M6" i="36" s="1"/>
  <c r="J6" i="36"/>
  <c r="D6" i="36"/>
  <c r="C6" i="36"/>
  <c r="B6" i="36"/>
  <c r="C21" i="35"/>
  <c r="C20" i="35"/>
  <c r="C19" i="35"/>
  <c r="B18" i="35"/>
  <c r="C13" i="35"/>
  <c r="B13" i="35" s="1"/>
  <c r="P10" i="35"/>
  <c r="N10" i="35"/>
  <c r="L10" i="35"/>
  <c r="M10" i="35" s="1"/>
  <c r="J10" i="35"/>
  <c r="D10" i="35"/>
  <c r="C10" i="35"/>
  <c r="B10" i="35"/>
  <c r="P9" i="35"/>
  <c r="N9" i="35"/>
  <c r="L9" i="35"/>
  <c r="M9" i="35" s="1"/>
  <c r="J9" i="35"/>
  <c r="D9" i="35"/>
  <c r="C9" i="35"/>
  <c r="B9" i="35"/>
  <c r="P8" i="35"/>
  <c r="N8" i="35"/>
  <c r="L8" i="35"/>
  <c r="M8" i="35" s="1"/>
  <c r="J8" i="35"/>
  <c r="D8" i="35"/>
  <c r="C8" i="35"/>
  <c r="B8" i="35"/>
  <c r="P7" i="35"/>
  <c r="N7" i="35"/>
  <c r="L7" i="35"/>
  <c r="M7" i="35" s="1"/>
  <c r="J7" i="35"/>
  <c r="D7" i="35"/>
  <c r="C7" i="35"/>
  <c r="B7" i="35"/>
  <c r="P6" i="35"/>
  <c r="N6" i="35"/>
  <c r="L6" i="35"/>
  <c r="M6" i="35" s="1"/>
  <c r="J6" i="35"/>
  <c r="D6" i="35"/>
  <c r="C6" i="35"/>
  <c r="B6" i="35"/>
  <c r="C19" i="34"/>
  <c r="C21" i="34" s="1"/>
  <c r="B18" i="34"/>
  <c r="C13" i="34"/>
  <c r="B13" i="34"/>
  <c r="P10" i="34"/>
  <c r="N10" i="34"/>
  <c r="L10" i="34"/>
  <c r="M10" i="34" s="1"/>
  <c r="J10" i="34"/>
  <c r="D10" i="34"/>
  <c r="C10" i="34"/>
  <c r="B10" i="34"/>
  <c r="P9" i="34"/>
  <c r="N9" i="34"/>
  <c r="L9" i="34"/>
  <c r="M9" i="34" s="1"/>
  <c r="J9" i="34"/>
  <c r="D9" i="34"/>
  <c r="C9" i="34"/>
  <c r="B9" i="34"/>
  <c r="P8" i="34"/>
  <c r="N8" i="34"/>
  <c r="L8" i="34"/>
  <c r="M8" i="34" s="1"/>
  <c r="J8" i="34"/>
  <c r="D8" i="34"/>
  <c r="C8" i="34"/>
  <c r="B8" i="34"/>
  <c r="P7" i="34"/>
  <c r="N7" i="34"/>
  <c r="L7" i="34"/>
  <c r="M7" i="34" s="1"/>
  <c r="J7" i="34"/>
  <c r="D7" i="34"/>
  <c r="C7" i="34"/>
  <c r="B7" i="34"/>
  <c r="P6" i="34"/>
  <c r="N6" i="34"/>
  <c r="L6" i="34"/>
  <c r="M6" i="34" s="1"/>
  <c r="J6" i="34"/>
  <c r="D6" i="34"/>
  <c r="C6" i="34"/>
  <c r="B6" i="34"/>
  <c r="C19" i="33"/>
  <c r="C21" i="33" s="1"/>
  <c r="B18" i="33"/>
  <c r="C13" i="33"/>
  <c r="B13" i="33"/>
  <c r="P10" i="33"/>
  <c r="N10" i="33"/>
  <c r="L10" i="33"/>
  <c r="M10" i="33" s="1"/>
  <c r="J10" i="33"/>
  <c r="D10" i="33"/>
  <c r="C10" i="33"/>
  <c r="B10" i="33"/>
  <c r="P9" i="33"/>
  <c r="N9" i="33"/>
  <c r="L9" i="33"/>
  <c r="M9" i="33" s="1"/>
  <c r="J9" i="33"/>
  <c r="D9" i="33"/>
  <c r="C9" i="33"/>
  <c r="B9" i="33"/>
  <c r="P8" i="33"/>
  <c r="N8" i="33"/>
  <c r="L8" i="33"/>
  <c r="M8" i="33" s="1"/>
  <c r="J8" i="33"/>
  <c r="D8" i="33"/>
  <c r="C8" i="33"/>
  <c r="B8" i="33"/>
  <c r="P7" i="33"/>
  <c r="N7" i="33"/>
  <c r="L7" i="33"/>
  <c r="M7" i="33" s="1"/>
  <c r="J7" i="33"/>
  <c r="D7" i="33"/>
  <c r="C7" i="33"/>
  <c r="B7" i="33"/>
  <c r="P6" i="33"/>
  <c r="N6" i="33"/>
  <c r="L6" i="33"/>
  <c r="M6" i="33" s="1"/>
  <c r="J6" i="33"/>
  <c r="D6" i="33"/>
  <c r="C6" i="33"/>
  <c r="B6" i="33"/>
  <c r="N6" i="32"/>
  <c r="J6" i="32"/>
  <c r="B6" i="32"/>
  <c r="C6" i="32"/>
  <c r="C19" i="32"/>
  <c r="C20" i="32" s="1"/>
  <c r="B18" i="32"/>
  <c r="C13" i="32"/>
  <c r="B13" i="32" s="1"/>
  <c r="P10" i="32"/>
  <c r="N10" i="32"/>
  <c r="L10" i="32"/>
  <c r="M10" i="32" s="1"/>
  <c r="J10" i="32"/>
  <c r="D10" i="32"/>
  <c r="C10" i="32"/>
  <c r="B10" i="32"/>
  <c r="P9" i="32"/>
  <c r="N9" i="32"/>
  <c r="L9" i="32"/>
  <c r="M9" i="32" s="1"/>
  <c r="J9" i="32"/>
  <c r="D9" i="32"/>
  <c r="C9" i="32"/>
  <c r="B9" i="32"/>
  <c r="P8" i="32"/>
  <c r="N8" i="32"/>
  <c r="L8" i="32"/>
  <c r="M8" i="32" s="1"/>
  <c r="J8" i="32"/>
  <c r="D8" i="32"/>
  <c r="C8" i="32"/>
  <c r="B8" i="32"/>
  <c r="P7" i="32"/>
  <c r="N7" i="32"/>
  <c r="L7" i="32"/>
  <c r="M7" i="32" s="1"/>
  <c r="D7" i="32"/>
  <c r="C7" i="32"/>
  <c r="B7" i="32"/>
  <c r="P6" i="32"/>
  <c r="D6" i="32"/>
  <c r="C20" i="36" l="1"/>
  <c r="C20" i="34"/>
  <c r="C20" i="33"/>
  <c r="C21" i="32"/>
  <c r="L6" i="32"/>
  <c r="M6" i="32" s="1"/>
  <c r="J7" i="32"/>
  <c r="S1" i="30" l="1"/>
  <c r="G33" i="29" l="1"/>
  <c r="G30" i="29"/>
  <c r="I17" i="29"/>
  <c r="G17" i="29"/>
  <c r="H13" i="29"/>
  <c r="I13" i="29" s="1"/>
  <c r="N11" i="29"/>
  <c r="L11" i="29"/>
  <c r="K11" i="29"/>
  <c r="F11" i="29"/>
  <c r="E11" i="29"/>
  <c r="D11" i="29"/>
  <c r="B8" i="29"/>
  <c r="A8" i="29"/>
  <c r="M6" i="29"/>
  <c r="L6" i="29"/>
  <c r="J6" i="29"/>
  <c r="I6" i="29"/>
  <c r="H6" i="29"/>
  <c r="G6" i="29"/>
  <c r="F6" i="29"/>
  <c r="I22" i="29" l="1"/>
  <c r="G23" i="29" s="1"/>
  <c r="H11" i="29" s="1"/>
  <c r="G20" i="29"/>
  <c r="J4" i="29" s="1"/>
  <c r="J8" i="29" s="1"/>
  <c r="I11" i="29" l="1"/>
  <c r="G11" i="29"/>
  <c r="J11" i="29"/>
  <c r="M11" i="29"/>
  <c r="D10" i="29"/>
  <c r="E4" i="29"/>
  <c r="E8" i="29" s="1"/>
  <c r="G4" i="29"/>
  <c r="G8" i="29" s="1"/>
  <c r="M4" i="29"/>
  <c r="M8" i="29" s="1"/>
  <c r="G13" i="29"/>
  <c r="F4" i="29"/>
  <c r="F8" i="29" s="1"/>
  <c r="D4" i="29"/>
  <c r="D8" i="29" s="1"/>
  <c r="H4" i="29"/>
  <c r="N4" i="29"/>
  <c r="N8" i="29" s="1"/>
  <c r="L4" i="29"/>
  <c r="L8" i="29" s="1"/>
  <c r="K4" i="29"/>
  <c r="K8" i="29" s="1"/>
  <c r="I4" i="29"/>
  <c r="I8" i="29" s="1"/>
  <c r="C21" i="7" l="1"/>
  <c r="C21" i="6"/>
  <c r="C21" i="4"/>
  <c r="C21" i="3"/>
  <c r="D14" i="26"/>
  <c r="D12" i="26"/>
  <c r="D14" i="27"/>
  <c r="D12" i="27"/>
  <c r="D14" i="28"/>
  <c r="D12" i="28"/>
  <c r="D14" i="24"/>
  <c r="D12" i="24"/>
  <c r="D14" i="25"/>
  <c r="D12" i="25"/>
  <c r="D14" i="12"/>
  <c r="D12" i="12"/>
  <c r="D14" i="13"/>
  <c r="D12" i="13"/>
  <c r="D14" i="14"/>
  <c r="D12" i="14"/>
  <c r="D14" i="15"/>
  <c r="D12" i="15"/>
  <c r="D14" i="16"/>
  <c r="D12" i="16"/>
  <c r="D14" i="17"/>
  <c r="D12" i="17"/>
  <c r="D14" i="18"/>
  <c r="D12" i="18"/>
  <c r="D14" i="19"/>
  <c r="D12" i="19"/>
  <c r="D14" i="20"/>
  <c r="D12" i="20"/>
  <c r="D14" i="21"/>
  <c r="D12" i="21"/>
  <c r="D14" i="22"/>
  <c r="D12" i="22"/>
  <c r="D14" i="8" l="1"/>
  <c r="D12" i="8"/>
  <c r="E13" i="8" s="1"/>
  <c r="D13" i="8" s="1"/>
  <c r="D14" i="9"/>
  <c r="D12" i="9"/>
  <c r="D14" i="10"/>
  <c r="E13" i="10" s="1"/>
  <c r="D13" i="10" s="1"/>
  <c r="D12" i="10"/>
  <c r="D14" i="11"/>
  <c r="D12" i="11"/>
  <c r="D14" i="23"/>
  <c r="D12" i="23"/>
  <c r="C15" i="28"/>
  <c r="E13" i="28"/>
  <c r="D13" i="28" s="1"/>
  <c r="C13" i="28"/>
  <c r="B13" i="28"/>
  <c r="AA10" i="28"/>
  <c r="Y10" i="28"/>
  <c r="X10" i="28"/>
  <c r="W10" i="28"/>
  <c r="U10" i="28"/>
  <c r="S10" i="28"/>
  <c r="R10" i="28"/>
  <c r="Q10" i="28"/>
  <c r="O10" i="28"/>
  <c r="M10" i="28"/>
  <c r="L10" i="28"/>
  <c r="K10" i="28"/>
  <c r="I10" i="28"/>
  <c r="D10" i="28"/>
  <c r="C10" i="28"/>
  <c r="B10" i="28"/>
  <c r="AB9" i="28"/>
  <c r="Z9" i="28"/>
  <c r="AA9" i="28" s="1"/>
  <c r="V9" i="28"/>
  <c r="Y9" i="28" s="1"/>
  <c r="T9" i="28"/>
  <c r="U9" i="28" s="1"/>
  <c r="P9" i="28"/>
  <c r="S9" i="28" s="1"/>
  <c r="N9" i="28"/>
  <c r="Q9" i="28" s="1"/>
  <c r="R9" i="28" s="1"/>
  <c r="J9" i="28"/>
  <c r="M9" i="28" s="1"/>
  <c r="H9" i="28"/>
  <c r="K9" i="28" s="1"/>
  <c r="L9" i="28" s="1"/>
  <c r="G9" i="28"/>
  <c r="F9" i="28"/>
  <c r="D9" i="28"/>
  <c r="C9" i="28"/>
  <c r="B9" i="28"/>
  <c r="AB8" i="28"/>
  <c r="Z8" i="28"/>
  <c r="AA8" i="28" s="1"/>
  <c r="V8" i="28"/>
  <c r="Y8" i="28" s="1"/>
  <c r="T8" i="28"/>
  <c r="U8" i="28" s="1"/>
  <c r="P8" i="28"/>
  <c r="S8" i="28" s="1"/>
  <c r="N8" i="28"/>
  <c r="Q8" i="28" s="1"/>
  <c r="R8" i="28" s="1"/>
  <c r="J8" i="28"/>
  <c r="M8" i="28" s="1"/>
  <c r="H8" i="28"/>
  <c r="K8" i="28" s="1"/>
  <c r="L8" i="28" s="1"/>
  <c r="G8" i="28"/>
  <c r="F8" i="28"/>
  <c r="D8" i="28"/>
  <c r="C8" i="28"/>
  <c r="B8" i="28"/>
  <c r="AB7" i="28"/>
  <c r="Z7" i="28"/>
  <c r="AA7" i="28" s="1"/>
  <c r="V7" i="28"/>
  <c r="Y7" i="28" s="1"/>
  <c r="T7" i="28"/>
  <c r="U7" i="28" s="1"/>
  <c r="P7" i="28"/>
  <c r="S7" i="28" s="1"/>
  <c r="N7" i="28"/>
  <c r="O7" i="28" s="1"/>
  <c r="J7" i="28"/>
  <c r="M7" i="28" s="1"/>
  <c r="H7" i="28"/>
  <c r="K7" i="28" s="1"/>
  <c r="L7" i="28" s="1"/>
  <c r="G7" i="28"/>
  <c r="F7" i="28"/>
  <c r="D7" i="28"/>
  <c r="C7" i="28"/>
  <c r="B7" i="28"/>
  <c r="AB6" i="28"/>
  <c r="Z6" i="28"/>
  <c r="AA6" i="28" s="1"/>
  <c r="V6" i="28"/>
  <c r="Y6" i="28" s="1"/>
  <c r="T6" i="28"/>
  <c r="W6" i="28" s="1"/>
  <c r="X6" i="28" s="1"/>
  <c r="P6" i="28"/>
  <c r="S6" i="28" s="1"/>
  <c r="N6" i="28"/>
  <c r="O6" i="28" s="1"/>
  <c r="J6" i="28"/>
  <c r="M6" i="28" s="1"/>
  <c r="H6" i="28"/>
  <c r="K6" i="28" s="1"/>
  <c r="L6" i="28" s="1"/>
  <c r="G6" i="28"/>
  <c r="F6" i="28"/>
  <c r="D6" i="28"/>
  <c r="C6" i="28"/>
  <c r="B6" i="28"/>
  <c r="C15" i="27"/>
  <c r="E13" i="27"/>
  <c r="D13" i="27" s="1"/>
  <c r="C13" i="27"/>
  <c r="B13" i="27"/>
  <c r="AA10" i="27"/>
  <c r="Y10" i="27"/>
  <c r="X10" i="27"/>
  <c r="W10" i="27"/>
  <c r="U10" i="27"/>
  <c r="S10" i="27"/>
  <c r="R10" i="27"/>
  <c r="Q10" i="27"/>
  <c r="O10" i="27"/>
  <c r="M10" i="27"/>
  <c r="L10" i="27"/>
  <c r="K10" i="27"/>
  <c r="I10" i="27"/>
  <c r="D10" i="27"/>
  <c r="C10" i="27"/>
  <c r="B10" i="27"/>
  <c r="AA9" i="27"/>
  <c r="Y9" i="27"/>
  <c r="X9" i="27"/>
  <c r="W9" i="27"/>
  <c r="U9" i="27"/>
  <c r="S9" i="27"/>
  <c r="R9" i="27"/>
  <c r="Q9" i="27"/>
  <c r="O9" i="27"/>
  <c r="M9" i="27"/>
  <c r="L9" i="27"/>
  <c r="K9" i="27"/>
  <c r="I9" i="27"/>
  <c r="D9" i="27"/>
  <c r="C9" i="27"/>
  <c r="B9" i="27"/>
  <c r="AA8" i="27"/>
  <c r="Y8" i="27"/>
  <c r="X8" i="27"/>
  <c r="W8" i="27"/>
  <c r="U8" i="27"/>
  <c r="S8" i="27"/>
  <c r="R8" i="27"/>
  <c r="Q8" i="27"/>
  <c r="O8" i="27"/>
  <c r="M8" i="27"/>
  <c r="L8" i="27"/>
  <c r="K8" i="27"/>
  <c r="I8" i="27"/>
  <c r="D8" i="27"/>
  <c r="C8" i="27"/>
  <c r="B8" i="27"/>
  <c r="AB7" i="27"/>
  <c r="Z7" i="27"/>
  <c r="AA7" i="27" s="1"/>
  <c r="V7" i="27"/>
  <c r="Y7" i="27" s="1"/>
  <c r="T7" i="27"/>
  <c r="U7" i="27" s="1"/>
  <c r="P7" i="27"/>
  <c r="S7" i="27" s="1"/>
  <c r="N7" i="27"/>
  <c r="Q7" i="27" s="1"/>
  <c r="R7" i="27" s="1"/>
  <c r="J7" i="27"/>
  <c r="M7" i="27" s="1"/>
  <c r="H7" i="27"/>
  <c r="K7" i="27" s="1"/>
  <c r="L7" i="27" s="1"/>
  <c r="G7" i="27"/>
  <c r="F7" i="27"/>
  <c r="D7" i="27"/>
  <c r="C7" i="27"/>
  <c r="B7" i="27"/>
  <c r="AB6" i="27"/>
  <c r="Z6" i="27"/>
  <c r="AA6" i="27" s="1"/>
  <c r="V6" i="27"/>
  <c r="Y6" i="27" s="1"/>
  <c r="T6" i="27"/>
  <c r="W6" i="27" s="1"/>
  <c r="X6" i="27" s="1"/>
  <c r="P6" i="27"/>
  <c r="S6" i="27" s="1"/>
  <c r="N6" i="27"/>
  <c r="Q6" i="27" s="1"/>
  <c r="R6" i="27" s="1"/>
  <c r="J6" i="27"/>
  <c r="M6" i="27" s="1"/>
  <c r="H6" i="27"/>
  <c r="K6" i="27" s="1"/>
  <c r="L6" i="27" s="1"/>
  <c r="G6" i="27"/>
  <c r="F6" i="27"/>
  <c r="D6" i="27"/>
  <c r="C6" i="27"/>
  <c r="B6" i="27"/>
  <c r="C15" i="26"/>
  <c r="C13" i="26"/>
  <c r="B13" i="26"/>
  <c r="E13" i="26"/>
  <c r="D13" i="26" s="1"/>
  <c r="AA10" i="26"/>
  <c r="Y10" i="26"/>
  <c r="X10" i="26"/>
  <c r="W10" i="26"/>
  <c r="U10" i="26"/>
  <c r="S10" i="26"/>
  <c r="R10" i="26"/>
  <c r="Q10" i="26"/>
  <c r="O10" i="26"/>
  <c r="M10" i="26"/>
  <c r="L10" i="26"/>
  <c r="K10" i="26"/>
  <c r="I10" i="26"/>
  <c r="D10" i="26"/>
  <c r="C10" i="26"/>
  <c r="B10" i="26"/>
  <c r="AA9" i="26"/>
  <c r="Y9" i="26"/>
  <c r="X9" i="26"/>
  <c r="W9" i="26"/>
  <c r="U9" i="26"/>
  <c r="S9" i="26"/>
  <c r="R9" i="26"/>
  <c r="Q9" i="26"/>
  <c r="O9" i="26"/>
  <c r="M9" i="26"/>
  <c r="L9" i="26"/>
  <c r="K9" i="26"/>
  <c r="I9" i="26"/>
  <c r="D9" i="26"/>
  <c r="C9" i="26"/>
  <c r="B9" i="26"/>
  <c r="AB8" i="26"/>
  <c r="Z8" i="26"/>
  <c r="AA8" i="26" s="1"/>
  <c r="V8" i="26"/>
  <c r="Y8" i="26" s="1"/>
  <c r="T8" i="26"/>
  <c r="W8" i="26" s="1"/>
  <c r="X8" i="26" s="1"/>
  <c r="P8" i="26"/>
  <c r="S8" i="26" s="1"/>
  <c r="N8" i="26"/>
  <c r="O8" i="26" s="1"/>
  <c r="J8" i="26"/>
  <c r="M8" i="26" s="1"/>
  <c r="H8" i="26"/>
  <c r="K8" i="26" s="1"/>
  <c r="L8" i="26" s="1"/>
  <c r="G8" i="26"/>
  <c r="F8" i="26"/>
  <c r="D8" i="26"/>
  <c r="C8" i="26"/>
  <c r="B8" i="26"/>
  <c r="AB7" i="26"/>
  <c r="Z7" i="26"/>
  <c r="AA7" i="26" s="1"/>
  <c r="V7" i="26"/>
  <c r="Y7" i="26" s="1"/>
  <c r="T7" i="26"/>
  <c r="W7" i="26" s="1"/>
  <c r="X7" i="26" s="1"/>
  <c r="P7" i="26"/>
  <c r="S7" i="26" s="1"/>
  <c r="N7" i="26"/>
  <c r="O7" i="26" s="1"/>
  <c r="J7" i="26"/>
  <c r="M7" i="26" s="1"/>
  <c r="H7" i="26"/>
  <c r="K7" i="26" s="1"/>
  <c r="L7" i="26" s="1"/>
  <c r="G7" i="26"/>
  <c r="F7" i="26"/>
  <c r="D7" i="26"/>
  <c r="C7" i="26"/>
  <c r="B7" i="26"/>
  <c r="AB6" i="26"/>
  <c r="Z6" i="26"/>
  <c r="AA6" i="26" s="1"/>
  <c r="V6" i="26"/>
  <c r="Y6" i="26" s="1"/>
  <c r="T6" i="26"/>
  <c r="W6" i="26" s="1"/>
  <c r="X6" i="26" s="1"/>
  <c r="P6" i="26"/>
  <c r="S6" i="26" s="1"/>
  <c r="N6" i="26"/>
  <c r="Q6" i="26" s="1"/>
  <c r="R6" i="26" s="1"/>
  <c r="J6" i="26"/>
  <c r="M6" i="26" s="1"/>
  <c r="H6" i="26"/>
  <c r="I6" i="26" s="1"/>
  <c r="G6" i="26"/>
  <c r="F6" i="26"/>
  <c r="D6" i="26"/>
  <c r="C6" i="26"/>
  <c r="B6" i="26"/>
  <c r="C15" i="25"/>
  <c r="C13" i="25"/>
  <c r="B13" i="25" s="1"/>
  <c r="AA10" i="25"/>
  <c r="Y10" i="25"/>
  <c r="X10" i="25"/>
  <c r="W10" i="25"/>
  <c r="U10" i="25"/>
  <c r="S10" i="25"/>
  <c r="Q10" i="25"/>
  <c r="R10" i="25" s="1"/>
  <c r="O10" i="25"/>
  <c r="M10" i="25"/>
  <c r="L10" i="25"/>
  <c r="K10" i="25"/>
  <c r="I10" i="25"/>
  <c r="D10" i="25"/>
  <c r="C10" i="25"/>
  <c r="B10" i="25"/>
  <c r="AA9" i="25"/>
  <c r="Y9" i="25"/>
  <c r="X9" i="25"/>
  <c r="W9" i="25"/>
  <c r="U9" i="25"/>
  <c r="S9" i="25"/>
  <c r="Q9" i="25"/>
  <c r="R9" i="25" s="1"/>
  <c r="O9" i="25"/>
  <c r="M9" i="25"/>
  <c r="L9" i="25"/>
  <c r="K9" i="25"/>
  <c r="I9" i="25"/>
  <c r="D9" i="25"/>
  <c r="C9" i="25"/>
  <c r="B9" i="25"/>
  <c r="AA8" i="25"/>
  <c r="Y8" i="25"/>
  <c r="X8" i="25"/>
  <c r="W8" i="25"/>
  <c r="U8" i="25"/>
  <c r="S8" i="25"/>
  <c r="Q8" i="25"/>
  <c r="R8" i="25" s="1"/>
  <c r="O8" i="25"/>
  <c r="M8" i="25"/>
  <c r="L8" i="25"/>
  <c r="K8" i="25"/>
  <c r="I8" i="25"/>
  <c r="D8" i="25"/>
  <c r="C8" i="25"/>
  <c r="B8" i="25"/>
  <c r="AA7" i="25"/>
  <c r="Y7" i="25"/>
  <c r="X7" i="25"/>
  <c r="W7" i="25"/>
  <c r="U7" i="25"/>
  <c r="S7" i="25"/>
  <c r="Q7" i="25"/>
  <c r="R7" i="25" s="1"/>
  <c r="O7" i="25"/>
  <c r="M7" i="25"/>
  <c r="L7" i="25"/>
  <c r="K7" i="25"/>
  <c r="I7" i="25"/>
  <c r="D7" i="25"/>
  <c r="C7" i="25"/>
  <c r="B7" i="25"/>
  <c r="AB6" i="25"/>
  <c r="Z6" i="25"/>
  <c r="AA6" i="25" s="1"/>
  <c r="V6" i="25"/>
  <c r="Y6" i="25" s="1"/>
  <c r="T6" i="25"/>
  <c r="W6" i="25" s="1"/>
  <c r="X6" i="25" s="1"/>
  <c r="P6" i="25"/>
  <c r="S6" i="25" s="1"/>
  <c r="N6" i="25"/>
  <c r="O6" i="25" s="1"/>
  <c r="J6" i="25"/>
  <c r="M6" i="25" s="1"/>
  <c r="H6" i="25"/>
  <c r="K6" i="25" s="1"/>
  <c r="L6" i="25" s="1"/>
  <c r="G6" i="25"/>
  <c r="F6" i="25"/>
  <c r="D6" i="25"/>
  <c r="C6" i="25"/>
  <c r="B6" i="25"/>
  <c r="C15" i="24"/>
  <c r="B10" i="24" s="1"/>
  <c r="C13" i="24"/>
  <c r="B13" i="24"/>
  <c r="AA10" i="24"/>
  <c r="Y10" i="24"/>
  <c r="X10" i="24"/>
  <c r="W10" i="24"/>
  <c r="U10" i="24"/>
  <c r="S10" i="24"/>
  <c r="R10" i="24"/>
  <c r="Q10" i="24"/>
  <c r="O10" i="24"/>
  <c r="M10" i="24"/>
  <c r="L10" i="24"/>
  <c r="K10" i="24"/>
  <c r="I10" i="24"/>
  <c r="D10" i="24"/>
  <c r="C10" i="24"/>
  <c r="AA9" i="24"/>
  <c r="Y9" i="24"/>
  <c r="X9" i="24"/>
  <c r="W9" i="24"/>
  <c r="U9" i="24"/>
  <c r="S9" i="24"/>
  <c r="R9" i="24"/>
  <c r="Q9" i="24"/>
  <c r="O9" i="24"/>
  <c r="M9" i="24"/>
  <c r="L9" i="24"/>
  <c r="K9" i="24"/>
  <c r="I9" i="24"/>
  <c r="D9" i="24"/>
  <c r="C9" i="24"/>
  <c r="AA8" i="24"/>
  <c r="Y8" i="24"/>
  <c r="X8" i="24"/>
  <c r="W8" i="24"/>
  <c r="U8" i="24"/>
  <c r="S8" i="24"/>
  <c r="R8" i="24"/>
  <c r="Q8" i="24"/>
  <c r="O8" i="24"/>
  <c r="M8" i="24"/>
  <c r="L8" i="24"/>
  <c r="K8" i="24"/>
  <c r="I8" i="24"/>
  <c r="D8" i="24"/>
  <c r="C8" i="24"/>
  <c r="AB7" i="24"/>
  <c r="Z7" i="24"/>
  <c r="AA7" i="24" s="1"/>
  <c r="V7" i="24"/>
  <c r="Y7" i="24" s="1"/>
  <c r="T7" i="24"/>
  <c r="U7" i="24" s="1"/>
  <c r="P7" i="24"/>
  <c r="S7" i="24" s="1"/>
  <c r="N7" i="24"/>
  <c r="Q7" i="24" s="1"/>
  <c r="R7" i="24" s="1"/>
  <c r="J7" i="24"/>
  <c r="M7" i="24" s="1"/>
  <c r="H7" i="24"/>
  <c r="K7" i="24" s="1"/>
  <c r="L7" i="24" s="1"/>
  <c r="G7" i="24"/>
  <c r="F7" i="24"/>
  <c r="D7" i="24"/>
  <c r="C7" i="24"/>
  <c r="B7" i="24"/>
  <c r="AB6" i="24"/>
  <c r="Z6" i="24"/>
  <c r="AA6" i="24" s="1"/>
  <c r="V6" i="24"/>
  <c r="Y6" i="24" s="1"/>
  <c r="T6" i="24"/>
  <c r="W6" i="24" s="1"/>
  <c r="X6" i="24" s="1"/>
  <c r="P6" i="24"/>
  <c r="S6" i="24" s="1"/>
  <c r="N6" i="24"/>
  <c r="O6" i="24" s="1"/>
  <c r="J6" i="24"/>
  <c r="M6" i="24" s="1"/>
  <c r="H6" i="24"/>
  <c r="K6" i="24" s="1"/>
  <c r="L6" i="24" s="1"/>
  <c r="G6" i="24"/>
  <c r="F6" i="24"/>
  <c r="D6" i="24"/>
  <c r="C6" i="24"/>
  <c r="B6" i="24"/>
  <c r="C15" i="23"/>
  <c r="E13" i="23"/>
  <c r="D13" i="23" s="1"/>
  <c r="C13" i="23"/>
  <c r="B13" i="23"/>
  <c r="AA10" i="23"/>
  <c r="Y10" i="23"/>
  <c r="X10" i="23"/>
  <c r="W10" i="23"/>
  <c r="U10" i="23"/>
  <c r="S10" i="23"/>
  <c r="R10" i="23"/>
  <c r="Q10" i="23"/>
  <c r="O10" i="23"/>
  <c r="M10" i="23"/>
  <c r="L10" i="23"/>
  <c r="K10" i="23"/>
  <c r="I10" i="23"/>
  <c r="D10" i="23"/>
  <c r="C10" i="23"/>
  <c r="B10" i="23"/>
  <c r="AA9" i="23"/>
  <c r="Y9" i="23"/>
  <c r="X9" i="23"/>
  <c r="W9" i="23"/>
  <c r="U9" i="23"/>
  <c r="S9" i="23"/>
  <c r="R9" i="23"/>
  <c r="Q9" i="23"/>
  <c r="O9" i="23"/>
  <c r="M9" i="23"/>
  <c r="L9" i="23"/>
  <c r="K9" i="23"/>
  <c r="I9" i="23"/>
  <c r="D9" i="23"/>
  <c r="C9" i="23"/>
  <c r="B9" i="23"/>
  <c r="AA8" i="23"/>
  <c r="Y8" i="23"/>
  <c r="X8" i="23"/>
  <c r="W8" i="23"/>
  <c r="U8" i="23"/>
  <c r="S8" i="23"/>
  <c r="R8" i="23"/>
  <c r="Q8" i="23"/>
  <c r="O8" i="23"/>
  <c r="M8" i="23"/>
  <c r="L8" i="23"/>
  <c r="K8" i="23"/>
  <c r="I8" i="23"/>
  <c r="D8" i="23"/>
  <c r="C8" i="23"/>
  <c r="B8" i="23"/>
  <c r="AA7" i="23"/>
  <c r="Y7" i="23"/>
  <c r="X7" i="23"/>
  <c r="W7" i="23"/>
  <c r="U7" i="23"/>
  <c r="S7" i="23"/>
  <c r="R7" i="23"/>
  <c r="Q7" i="23"/>
  <c r="O7" i="23"/>
  <c r="M7" i="23"/>
  <c r="L7" i="23"/>
  <c r="K7" i="23"/>
  <c r="I7" i="23"/>
  <c r="D7" i="23"/>
  <c r="C7" i="23"/>
  <c r="B7" i="23"/>
  <c r="AB6" i="23"/>
  <c r="Z6" i="23"/>
  <c r="AA6" i="23" s="1"/>
  <c r="V6" i="23"/>
  <c r="Y6" i="23" s="1"/>
  <c r="T6" i="23"/>
  <c r="P6" i="23"/>
  <c r="S6" i="23" s="1"/>
  <c r="N6" i="23"/>
  <c r="Q6" i="23" s="1"/>
  <c r="R6" i="23" s="1"/>
  <c r="J6" i="23"/>
  <c r="M6" i="23" s="1"/>
  <c r="H6" i="23"/>
  <c r="K6" i="23" s="1"/>
  <c r="L6" i="23" s="1"/>
  <c r="G6" i="23"/>
  <c r="F6" i="23"/>
  <c r="D6" i="23"/>
  <c r="C6" i="23"/>
  <c r="B6" i="23"/>
  <c r="C15" i="22"/>
  <c r="C13" i="22"/>
  <c r="B13" i="22"/>
  <c r="E13" i="22"/>
  <c r="D13" i="22" s="1"/>
  <c r="AA10" i="22"/>
  <c r="Y10" i="22"/>
  <c r="X10" i="22"/>
  <c r="W10" i="22"/>
  <c r="U10" i="22"/>
  <c r="S10" i="22"/>
  <c r="Q10" i="22"/>
  <c r="R10" i="22" s="1"/>
  <c r="O10" i="22"/>
  <c r="M10" i="22"/>
  <c r="L10" i="22"/>
  <c r="K10" i="22"/>
  <c r="I10" i="22"/>
  <c r="D10" i="22"/>
  <c r="C10" i="22"/>
  <c r="B10" i="22"/>
  <c r="AA9" i="22"/>
  <c r="Y9" i="22"/>
  <c r="X9" i="22"/>
  <c r="W9" i="22"/>
  <c r="U9" i="22"/>
  <c r="S9" i="22"/>
  <c r="Q9" i="22"/>
  <c r="R9" i="22" s="1"/>
  <c r="O9" i="22"/>
  <c r="M9" i="22"/>
  <c r="L9" i="22"/>
  <c r="K9" i="22"/>
  <c r="I9" i="22"/>
  <c r="D9" i="22"/>
  <c r="C9" i="22"/>
  <c r="B9" i="22"/>
  <c r="AA8" i="22"/>
  <c r="Y8" i="22"/>
  <c r="X8" i="22"/>
  <c r="W8" i="22"/>
  <c r="U8" i="22"/>
  <c r="S8" i="22"/>
  <c r="Q8" i="22"/>
  <c r="R8" i="22" s="1"/>
  <c r="O8" i="22"/>
  <c r="M8" i="22"/>
  <c r="L8" i="22"/>
  <c r="K8" i="22"/>
  <c r="I8" i="22"/>
  <c r="D8" i="22"/>
  <c r="C8" i="22"/>
  <c r="B8" i="22"/>
  <c r="AA7" i="22"/>
  <c r="Y7" i="22"/>
  <c r="X7" i="22"/>
  <c r="W7" i="22"/>
  <c r="U7" i="22"/>
  <c r="S7" i="22"/>
  <c r="Q7" i="22"/>
  <c r="R7" i="22" s="1"/>
  <c r="O7" i="22"/>
  <c r="M7" i="22"/>
  <c r="L7" i="22"/>
  <c r="K7" i="22"/>
  <c r="I7" i="22"/>
  <c r="D7" i="22"/>
  <c r="C7" i="22"/>
  <c r="B7" i="22"/>
  <c r="AB6" i="22"/>
  <c r="Z6" i="22"/>
  <c r="AA6" i="22" s="1"/>
  <c r="V6" i="22"/>
  <c r="Y6" i="22" s="1"/>
  <c r="T6" i="22"/>
  <c r="W6" i="22" s="1"/>
  <c r="X6" i="22" s="1"/>
  <c r="P6" i="22"/>
  <c r="S6" i="22" s="1"/>
  <c r="N6" i="22"/>
  <c r="O6" i="22" s="1"/>
  <c r="J6" i="22"/>
  <c r="M6" i="22" s="1"/>
  <c r="H6" i="22"/>
  <c r="K6" i="22" s="1"/>
  <c r="L6" i="22" s="1"/>
  <c r="G6" i="22"/>
  <c r="F6" i="22"/>
  <c r="D6" i="22"/>
  <c r="C6" i="22"/>
  <c r="B6" i="22"/>
  <c r="C15" i="21"/>
  <c r="C13" i="21"/>
  <c r="B13" i="21"/>
  <c r="E13" i="21"/>
  <c r="D13" i="21" s="1"/>
  <c r="AA10" i="21"/>
  <c r="Y10" i="21"/>
  <c r="X10" i="21"/>
  <c r="W10" i="21"/>
  <c r="U10" i="21"/>
  <c r="S10" i="21"/>
  <c r="R10" i="21"/>
  <c r="Q10" i="21"/>
  <c r="O10" i="21"/>
  <c r="M10" i="21"/>
  <c r="L10" i="21"/>
  <c r="K10" i="21"/>
  <c r="I10" i="21"/>
  <c r="D10" i="21"/>
  <c r="C10" i="21"/>
  <c r="B10" i="21"/>
  <c r="AA9" i="21"/>
  <c r="Y9" i="21"/>
  <c r="X9" i="21"/>
  <c r="W9" i="21"/>
  <c r="U9" i="21"/>
  <c r="S9" i="21"/>
  <c r="R9" i="21"/>
  <c r="Q9" i="21"/>
  <c r="O9" i="21"/>
  <c r="M9" i="21"/>
  <c r="L9" i="21"/>
  <c r="K9" i="21"/>
  <c r="I9" i="21"/>
  <c r="D9" i="21"/>
  <c r="C9" i="21"/>
  <c r="B9" i="21"/>
  <c r="AB8" i="21"/>
  <c r="Z8" i="21"/>
  <c r="AA8" i="21" s="1"/>
  <c r="V8" i="21"/>
  <c r="Y8" i="21" s="1"/>
  <c r="T8" i="21"/>
  <c r="W8" i="21" s="1"/>
  <c r="X8" i="21" s="1"/>
  <c r="P8" i="21"/>
  <c r="S8" i="21" s="1"/>
  <c r="N8" i="21"/>
  <c r="Q8" i="21" s="1"/>
  <c r="R8" i="21" s="1"/>
  <c r="J8" i="21"/>
  <c r="M8" i="21" s="1"/>
  <c r="H8" i="21"/>
  <c r="I8" i="21" s="1"/>
  <c r="G8" i="21"/>
  <c r="F8" i="21"/>
  <c r="D8" i="21"/>
  <c r="C8" i="21"/>
  <c r="B8" i="21"/>
  <c r="AB7" i="21"/>
  <c r="Z7" i="21"/>
  <c r="AA7" i="21" s="1"/>
  <c r="V7" i="21"/>
  <c r="Y7" i="21" s="1"/>
  <c r="T7" i="21"/>
  <c r="U7" i="21" s="1"/>
  <c r="P7" i="21"/>
  <c r="S7" i="21" s="1"/>
  <c r="N7" i="21"/>
  <c r="Q7" i="21" s="1"/>
  <c r="R7" i="21" s="1"/>
  <c r="J7" i="21"/>
  <c r="M7" i="21" s="1"/>
  <c r="H7" i="21"/>
  <c r="K7" i="21" s="1"/>
  <c r="L7" i="21" s="1"/>
  <c r="G7" i="21"/>
  <c r="F7" i="21"/>
  <c r="D7" i="21"/>
  <c r="C7" i="21"/>
  <c r="B7" i="21"/>
  <c r="AB6" i="21"/>
  <c r="Z6" i="21"/>
  <c r="AA6" i="21" s="1"/>
  <c r="V6" i="21"/>
  <c r="Y6" i="21" s="1"/>
  <c r="T6" i="21"/>
  <c r="W6" i="21" s="1"/>
  <c r="X6" i="21" s="1"/>
  <c r="P6" i="21"/>
  <c r="S6" i="21" s="1"/>
  <c r="N6" i="21"/>
  <c r="Q6" i="21" s="1"/>
  <c r="R6" i="21" s="1"/>
  <c r="J6" i="21"/>
  <c r="M6" i="21" s="1"/>
  <c r="H6" i="21"/>
  <c r="I6" i="21" s="1"/>
  <c r="G6" i="21"/>
  <c r="F6" i="21"/>
  <c r="D6" i="21"/>
  <c r="C6" i="21"/>
  <c r="B6" i="21"/>
  <c r="C15" i="20"/>
  <c r="E13" i="20"/>
  <c r="D13" i="20" s="1"/>
  <c r="C13" i="20"/>
  <c r="B13" i="20"/>
  <c r="AA10" i="20"/>
  <c r="Y10" i="20"/>
  <c r="X10" i="20"/>
  <c r="W10" i="20"/>
  <c r="U10" i="20"/>
  <c r="S10" i="20"/>
  <c r="R10" i="20"/>
  <c r="Q10" i="20"/>
  <c r="O10" i="20"/>
  <c r="M10" i="20"/>
  <c r="L10" i="20"/>
  <c r="K10" i="20"/>
  <c r="I10" i="20"/>
  <c r="D10" i="20"/>
  <c r="AA9" i="20"/>
  <c r="Y9" i="20"/>
  <c r="X9" i="20"/>
  <c r="W9" i="20"/>
  <c r="U9" i="20"/>
  <c r="S9" i="20"/>
  <c r="R9" i="20"/>
  <c r="Q9" i="20"/>
  <c r="O9" i="20"/>
  <c r="M9" i="20"/>
  <c r="L9" i="20"/>
  <c r="K9" i="20"/>
  <c r="I9" i="20"/>
  <c r="D9" i="20"/>
  <c r="AA8" i="20"/>
  <c r="Y8" i="20"/>
  <c r="X8" i="20"/>
  <c r="W8" i="20"/>
  <c r="U8" i="20"/>
  <c r="S8" i="20"/>
  <c r="R8" i="20"/>
  <c r="Q8" i="20"/>
  <c r="O8" i="20"/>
  <c r="M8" i="20"/>
  <c r="L8" i="20"/>
  <c r="K8" i="20"/>
  <c r="I8" i="20"/>
  <c r="D8" i="20"/>
  <c r="C8" i="20"/>
  <c r="AA7" i="20"/>
  <c r="Y7" i="20"/>
  <c r="X7" i="20"/>
  <c r="W7" i="20"/>
  <c r="U7" i="20"/>
  <c r="S7" i="20"/>
  <c r="R7" i="20"/>
  <c r="Q7" i="20"/>
  <c r="O7" i="20"/>
  <c r="M7" i="20"/>
  <c r="L7" i="20"/>
  <c r="K7" i="20"/>
  <c r="I7" i="20"/>
  <c r="AB6" i="20"/>
  <c r="Z6" i="20"/>
  <c r="AA6" i="20" s="1"/>
  <c r="V6" i="20"/>
  <c r="Y6" i="20" s="1"/>
  <c r="T6" i="20"/>
  <c r="W6" i="20" s="1"/>
  <c r="X6" i="20" s="1"/>
  <c r="P6" i="20"/>
  <c r="S6" i="20" s="1"/>
  <c r="N6" i="20"/>
  <c r="Q6" i="20" s="1"/>
  <c r="R6" i="20" s="1"/>
  <c r="J6" i="20"/>
  <c r="M6" i="20" s="1"/>
  <c r="H6" i="20"/>
  <c r="K6" i="20" s="1"/>
  <c r="L6" i="20" s="1"/>
  <c r="G6" i="20"/>
  <c r="F6" i="20"/>
  <c r="C15" i="19"/>
  <c r="E13" i="19"/>
  <c r="D13" i="19" s="1"/>
  <c r="C13" i="19"/>
  <c r="B13" i="19" s="1"/>
  <c r="AG10" i="19"/>
  <c r="AE10" i="19"/>
  <c r="AC10" i="19"/>
  <c r="AA10" i="19"/>
  <c r="Y10" i="19"/>
  <c r="W10" i="19"/>
  <c r="X10" i="19" s="1"/>
  <c r="U10" i="19"/>
  <c r="S10" i="19"/>
  <c r="Q10" i="19"/>
  <c r="R10" i="19" s="1"/>
  <c r="O10" i="19"/>
  <c r="M10" i="19"/>
  <c r="K10" i="19"/>
  <c r="L10" i="19" s="1"/>
  <c r="I10" i="19"/>
  <c r="D10" i="19"/>
  <c r="C10" i="19"/>
  <c r="B10" i="19"/>
  <c r="AH9" i="19"/>
  <c r="AF9" i="19"/>
  <c r="AG9" i="19" s="1"/>
  <c r="AE9" i="19"/>
  <c r="AC9" i="19"/>
  <c r="AA9" i="19"/>
  <c r="V9" i="19"/>
  <c r="Y9" i="19" s="1"/>
  <c r="T9" i="19"/>
  <c r="W9" i="19" s="1"/>
  <c r="X9" i="19" s="1"/>
  <c r="P9" i="19"/>
  <c r="S9" i="19" s="1"/>
  <c r="N9" i="19"/>
  <c r="Q9" i="19" s="1"/>
  <c r="R9" i="19" s="1"/>
  <c r="J9" i="19"/>
  <c r="M9" i="19" s="1"/>
  <c r="H9" i="19"/>
  <c r="I9" i="19" s="1"/>
  <c r="G9" i="19"/>
  <c r="F9" i="19"/>
  <c r="D9" i="19"/>
  <c r="C9" i="19"/>
  <c r="B9" i="19"/>
  <c r="AH8" i="19"/>
  <c r="AF8" i="19"/>
  <c r="AG8" i="19" s="1"/>
  <c r="AB8" i="19"/>
  <c r="AE8" i="19" s="1"/>
  <c r="Z8" i="19"/>
  <c r="AC8" i="19" s="1"/>
  <c r="V8" i="19"/>
  <c r="Y8" i="19" s="1"/>
  <c r="T8" i="19"/>
  <c r="U8" i="19" s="1"/>
  <c r="P8" i="19"/>
  <c r="S8" i="19" s="1"/>
  <c r="N8" i="19"/>
  <c r="Q8" i="19" s="1"/>
  <c r="R8" i="19" s="1"/>
  <c r="J8" i="19"/>
  <c r="M8" i="19" s="1"/>
  <c r="H8" i="19"/>
  <c r="I8" i="19" s="1"/>
  <c r="G8" i="19"/>
  <c r="F8" i="19"/>
  <c r="D8" i="19"/>
  <c r="C8" i="19"/>
  <c r="B8" i="19"/>
  <c r="AH7" i="19"/>
  <c r="AF7" i="19"/>
  <c r="AG7" i="19" s="1"/>
  <c r="AB7" i="19"/>
  <c r="AE7" i="19" s="1"/>
  <c r="Z7" i="19"/>
  <c r="AA7" i="19" s="1"/>
  <c r="V7" i="19"/>
  <c r="Y7" i="19" s="1"/>
  <c r="T7" i="19"/>
  <c r="W7" i="19" s="1"/>
  <c r="X7" i="19" s="1"/>
  <c r="P7" i="19"/>
  <c r="S7" i="19" s="1"/>
  <c r="N7" i="19"/>
  <c r="O7" i="19" s="1"/>
  <c r="J7" i="19"/>
  <c r="M7" i="19" s="1"/>
  <c r="H7" i="19"/>
  <c r="K7" i="19" s="1"/>
  <c r="L7" i="19" s="1"/>
  <c r="G7" i="19"/>
  <c r="F7" i="19"/>
  <c r="D7" i="19"/>
  <c r="C7" i="19"/>
  <c r="B7" i="19"/>
  <c r="AH6" i="19"/>
  <c r="AF6" i="19"/>
  <c r="AG6" i="19" s="1"/>
  <c r="AE6" i="19"/>
  <c r="AC6" i="19"/>
  <c r="AA6" i="19"/>
  <c r="V6" i="19"/>
  <c r="Y6" i="19" s="1"/>
  <c r="T6" i="19"/>
  <c r="U6" i="19" s="1"/>
  <c r="P6" i="19"/>
  <c r="S6" i="19" s="1"/>
  <c r="N6" i="19"/>
  <c r="Q6" i="19" s="1"/>
  <c r="R6" i="19" s="1"/>
  <c r="J6" i="19"/>
  <c r="M6" i="19" s="1"/>
  <c r="H6" i="19"/>
  <c r="I6" i="19" s="1"/>
  <c r="G6" i="19"/>
  <c r="F6" i="19"/>
  <c r="D6" i="19"/>
  <c r="C6" i="19"/>
  <c r="B6" i="19"/>
  <c r="C15" i="18"/>
  <c r="E13" i="18"/>
  <c r="D13" i="18" s="1"/>
  <c r="C13" i="18"/>
  <c r="B13" i="18"/>
  <c r="AA10" i="18"/>
  <c r="Y10" i="18"/>
  <c r="X10" i="18"/>
  <c r="W10" i="18"/>
  <c r="U10" i="18"/>
  <c r="S10" i="18"/>
  <c r="R10" i="18"/>
  <c r="Q10" i="18"/>
  <c r="O10" i="18"/>
  <c r="M10" i="18"/>
  <c r="L10" i="18"/>
  <c r="K10" i="18"/>
  <c r="I10" i="18"/>
  <c r="D10" i="18"/>
  <c r="C10" i="18"/>
  <c r="B10" i="18"/>
  <c r="AB9" i="18"/>
  <c r="Z9" i="18"/>
  <c r="AA9" i="18" s="1"/>
  <c r="V9" i="18"/>
  <c r="Y9" i="18" s="1"/>
  <c r="T9" i="18"/>
  <c r="W9" i="18" s="1"/>
  <c r="X9" i="18" s="1"/>
  <c r="P9" i="18"/>
  <c r="S9" i="18" s="1"/>
  <c r="N9" i="18"/>
  <c r="Q9" i="18" s="1"/>
  <c r="R9" i="18" s="1"/>
  <c r="J9" i="18"/>
  <c r="M9" i="18" s="1"/>
  <c r="H9" i="18"/>
  <c r="K9" i="18" s="1"/>
  <c r="L9" i="18" s="1"/>
  <c r="G9" i="18"/>
  <c r="F9" i="18"/>
  <c r="D9" i="18"/>
  <c r="C9" i="18"/>
  <c r="B9" i="18"/>
  <c r="AB8" i="18"/>
  <c r="Z8" i="18"/>
  <c r="AA8" i="18" s="1"/>
  <c r="V8" i="18"/>
  <c r="Y8" i="18" s="1"/>
  <c r="T8" i="18"/>
  <c r="W8" i="18" s="1"/>
  <c r="X8" i="18" s="1"/>
  <c r="P8" i="18"/>
  <c r="S8" i="18" s="1"/>
  <c r="N8" i="18"/>
  <c r="Q8" i="18" s="1"/>
  <c r="R8" i="18" s="1"/>
  <c r="J8" i="18"/>
  <c r="M8" i="18" s="1"/>
  <c r="H8" i="18"/>
  <c r="K8" i="18" s="1"/>
  <c r="L8" i="18" s="1"/>
  <c r="G8" i="18"/>
  <c r="F8" i="18"/>
  <c r="D8" i="18"/>
  <c r="C8" i="18"/>
  <c r="B8" i="18"/>
  <c r="AB7" i="18"/>
  <c r="Z7" i="18"/>
  <c r="AA7" i="18" s="1"/>
  <c r="V7" i="18"/>
  <c r="Y7" i="18" s="1"/>
  <c r="T7" i="18"/>
  <c r="U7" i="18" s="1"/>
  <c r="P7" i="18"/>
  <c r="S7" i="18" s="1"/>
  <c r="N7" i="18"/>
  <c r="Q7" i="18" s="1"/>
  <c r="R7" i="18" s="1"/>
  <c r="J7" i="18"/>
  <c r="M7" i="18" s="1"/>
  <c r="H7" i="18"/>
  <c r="K7" i="18" s="1"/>
  <c r="L7" i="18" s="1"/>
  <c r="G7" i="18"/>
  <c r="F7" i="18"/>
  <c r="D7" i="18"/>
  <c r="C7" i="18"/>
  <c r="B7" i="18"/>
  <c r="AB6" i="18"/>
  <c r="Z6" i="18"/>
  <c r="AA6" i="18" s="1"/>
  <c r="V6" i="18"/>
  <c r="Y6" i="18" s="1"/>
  <c r="T6" i="18"/>
  <c r="W6" i="18" s="1"/>
  <c r="X6" i="18" s="1"/>
  <c r="P6" i="18"/>
  <c r="S6" i="18" s="1"/>
  <c r="N6" i="18"/>
  <c r="O6" i="18" s="1"/>
  <c r="J6" i="18"/>
  <c r="M6" i="18" s="1"/>
  <c r="H6" i="18"/>
  <c r="K6" i="18" s="1"/>
  <c r="L6" i="18" s="1"/>
  <c r="G6" i="18"/>
  <c r="F6" i="18"/>
  <c r="D6" i="18"/>
  <c r="C6" i="18"/>
  <c r="B6" i="18"/>
  <c r="AA16" i="17"/>
  <c r="Y16" i="17"/>
  <c r="W16" i="17"/>
  <c r="X16" i="17" s="1"/>
  <c r="U16" i="17"/>
  <c r="S16" i="17"/>
  <c r="Q16" i="17"/>
  <c r="R16" i="17" s="1"/>
  <c r="O16" i="17"/>
  <c r="M16" i="17"/>
  <c r="K16" i="17"/>
  <c r="L16" i="17" s="1"/>
  <c r="I16" i="17"/>
  <c r="AA15" i="17"/>
  <c r="Y15" i="17"/>
  <c r="W15" i="17"/>
  <c r="X15" i="17" s="1"/>
  <c r="U15" i="17"/>
  <c r="S15" i="17"/>
  <c r="Q15" i="17"/>
  <c r="R15" i="17" s="1"/>
  <c r="O15" i="17"/>
  <c r="M15" i="17"/>
  <c r="K15" i="17"/>
  <c r="L15" i="17" s="1"/>
  <c r="I15" i="17"/>
  <c r="C15" i="17"/>
  <c r="AA14" i="17"/>
  <c r="Y14" i="17"/>
  <c r="W14" i="17"/>
  <c r="X14" i="17" s="1"/>
  <c r="U14" i="17"/>
  <c r="S14" i="17"/>
  <c r="Q14" i="17"/>
  <c r="R14" i="17" s="1"/>
  <c r="O14" i="17"/>
  <c r="M14" i="17"/>
  <c r="K14" i="17"/>
  <c r="L14" i="17" s="1"/>
  <c r="I14" i="17"/>
  <c r="AB13" i="17"/>
  <c r="Z13" i="17"/>
  <c r="AA13" i="17" s="1"/>
  <c r="V13" i="17"/>
  <c r="Y13" i="17" s="1"/>
  <c r="T13" i="17"/>
  <c r="W13" i="17" s="1"/>
  <c r="X13" i="17" s="1"/>
  <c r="P13" i="17"/>
  <c r="S13" i="17" s="1"/>
  <c r="N13" i="17"/>
  <c r="O13" i="17" s="1"/>
  <c r="J13" i="17"/>
  <c r="M13" i="17" s="1"/>
  <c r="H13" i="17"/>
  <c r="I13" i="17" s="1"/>
  <c r="G13" i="17"/>
  <c r="F13" i="17"/>
  <c r="E13" i="17"/>
  <c r="D13" i="17" s="1"/>
  <c r="C13" i="17"/>
  <c r="B13" i="17"/>
  <c r="AB12" i="17"/>
  <c r="Z12" i="17"/>
  <c r="AA12" i="17" s="1"/>
  <c r="V12" i="17"/>
  <c r="Y12" i="17" s="1"/>
  <c r="T12" i="17"/>
  <c r="W12" i="17" s="1"/>
  <c r="X12" i="17" s="1"/>
  <c r="P12" i="17"/>
  <c r="S12" i="17" s="1"/>
  <c r="N12" i="17"/>
  <c r="Q12" i="17" s="1"/>
  <c r="R12" i="17" s="1"/>
  <c r="J12" i="17"/>
  <c r="M12" i="17" s="1"/>
  <c r="H12" i="17"/>
  <c r="I12" i="17" s="1"/>
  <c r="G12" i="17"/>
  <c r="F12" i="17"/>
  <c r="AB11" i="17"/>
  <c r="Z11" i="17"/>
  <c r="AA11" i="17" s="1"/>
  <c r="V11" i="17"/>
  <c r="Y11" i="17" s="1"/>
  <c r="T11" i="17"/>
  <c r="W11" i="17" s="1"/>
  <c r="X11" i="17" s="1"/>
  <c r="P11" i="17"/>
  <c r="S11" i="17" s="1"/>
  <c r="N11" i="17"/>
  <c r="O11" i="17" s="1"/>
  <c r="J11" i="17"/>
  <c r="M11" i="17" s="1"/>
  <c r="H11" i="17"/>
  <c r="K11" i="17" s="1"/>
  <c r="L11" i="17" s="1"/>
  <c r="G11" i="17"/>
  <c r="F11" i="17"/>
  <c r="AB10" i="17"/>
  <c r="Z10" i="17"/>
  <c r="AA10" i="17" s="1"/>
  <c r="V10" i="17"/>
  <c r="Y10" i="17" s="1"/>
  <c r="T10" i="17"/>
  <c r="W10" i="17" s="1"/>
  <c r="X10" i="17" s="1"/>
  <c r="P10" i="17"/>
  <c r="S10" i="17" s="1"/>
  <c r="N10" i="17"/>
  <c r="O10" i="17" s="1"/>
  <c r="J10" i="17"/>
  <c r="M10" i="17" s="1"/>
  <c r="H10" i="17"/>
  <c r="K10" i="17" s="1"/>
  <c r="L10" i="17" s="1"/>
  <c r="G10" i="17"/>
  <c r="F10" i="17"/>
  <c r="D10" i="17"/>
  <c r="C10" i="17"/>
  <c r="B10" i="17"/>
  <c r="AB9" i="17"/>
  <c r="Z9" i="17"/>
  <c r="AA9" i="17" s="1"/>
  <c r="V9" i="17"/>
  <c r="Y9" i="17" s="1"/>
  <c r="T9" i="17"/>
  <c r="U9" i="17" s="1"/>
  <c r="P9" i="17"/>
  <c r="S9" i="17" s="1"/>
  <c r="N9" i="17"/>
  <c r="Q9" i="17" s="1"/>
  <c r="R9" i="17" s="1"/>
  <c r="J9" i="17"/>
  <c r="M9" i="17" s="1"/>
  <c r="H9" i="17"/>
  <c r="I9" i="17" s="1"/>
  <c r="G9" i="17"/>
  <c r="F9" i="17"/>
  <c r="D9" i="17"/>
  <c r="C9" i="17"/>
  <c r="B9" i="17"/>
  <c r="AB8" i="17"/>
  <c r="Z8" i="17"/>
  <c r="AA8" i="17" s="1"/>
  <c r="V8" i="17"/>
  <c r="Y8" i="17" s="1"/>
  <c r="T8" i="17"/>
  <c r="W8" i="17" s="1"/>
  <c r="X8" i="17" s="1"/>
  <c r="P8" i="17"/>
  <c r="S8" i="17" s="1"/>
  <c r="N8" i="17"/>
  <c r="Q8" i="17" s="1"/>
  <c r="R8" i="17" s="1"/>
  <c r="J8" i="17"/>
  <c r="M8" i="17" s="1"/>
  <c r="H8" i="17"/>
  <c r="K8" i="17" s="1"/>
  <c r="L8" i="17" s="1"/>
  <c r="G8" i="17"/>
  <c r="F8" i="17"/>
  <c r="D8" i="17"/>
  <c r="C8" i="17"/>
  <c r="B8" i="17"/>
  <c r="AB7" i="17"/>
  <c r="Z7" i="17"/>
  <c r="AA7" i="17" s="1"/>
  <c r="V7" i="17"/>
  <c r="Y7" i="17" s="1"/>
  <c r="T7" i="17"/>
  <c r="W7" i="17" s="1"/>
  <c r="X7" i="17" s="1"/>
  <c r="P7" i="17"/>
  <c r="S7" i="17" s="1"/>
  <c r="N7" i="17"/>
  <c r="O7" i="17" s="1"/>
  <c r="J7" i="17"/>
  <c r="M7" i="17" s="1"/>
  <c r="H7" i="17"/>
  <c r="K7" i="17" s="1"/>
  <c r="L7" i="17" s="1"/>
  <c r="G7" i="17"/>
  <c r="F7" i="17"/>
  <c r="D7" i="17"/>
  <c r="C7" i="17"/>
  <c r="B7" i="17"/>
  <c r="AB6" i="17"/>
  <c r="Z6" i="17"/>
  <c r="AA6" i="17" s="1"/>
  <c r="V6" i="17"/>
  <c r="Y6" i="17" s="1"/>
  <c r="T6" i="17"/>
  <c r="W6" i="17" s="1"/>
  <c r="X6" i="17" s="1"/>
  <c r="P6" i="17"/>
  <c r="S6" i="17" s="1"/>
  <c r="N6" i="17"/>
  <c r="O6" i="17" s="1"/>
  <c r="J6" i="17"/>
  <c r="M6" i="17" s="1"/>
  <c r="H6" i="17"/>
  <c r="K6" i="17" s="1"/>
  <c r="L6" i="17" s="1"/>
  <c r="G6" i="17"/>
  <c r="F6" i="17"/>
  <c r="D6" i="17"/>
  <c r="C6" i="17"/>
  <c r="B6" i="17"/>
  <c r="C15" i="16"/>
  <c r="E13" i="16"/>
  <c r="D13" i="16" s="1"/>
  <c r="AA13" i="16"/>
  <c r="Y13" i="16"/>
  <c r="X13" i="16"/>
  <c r="W13" i="16"/>
  <c r="U13" i="16"/>
  <c r="S13" i="16"/>
  <c r="Q13" i="16"/>
  <c r="R13" i="16" s="1"/>
  <c r="O13" i="16"/>
  <c r="M13" i="16"/>
  <c r="K13" i="16"/>
  <c r="L13" i="16" s="1"/>
  <c r="I13" i="16"/>
  <c r="C13" i="16"/>
  <c r="B13" i="16" s="1"/>
  <c r="AA12" i="16"/>
  <c r="Y12" i="16"/>
  <c r="W12" i="16"/>
  <c r="X12" i="16" s="1"/>
  <c r="U12" i="16"/>
  <c r="S12" i="16"/>
  <c r="Q12" i="16"/>
  <c r="R12" i="16" s="1"/>
  <c r="O12" i="16"/>
  <c r="M12" i="16"/>
  <c r="L12" i="16"/>
  <c r="K12" i="16"/>
  <c r="I12" i="16"/>
  <c r="AB11" i="16"/>
  <c r="Z11" i="16"/>
  <c r="AA11" i="16" s="1"/>
  <c r="V11" i="16"/>
  <c r="Y11" i="16" s="1"/>
  <c r="T11" i="16"/>
  <c r="W11" i="16" s="1"/>
  <c r="X11" i="16" s="1"/>
  <c r="P11" i="16"/>
  <c r="S11" i="16" s="1"/>
  <c r="N11" i="16"/>
  <c r="Q11" i="16" s="1"/>
  <c r="R11" i="16" s="1"/>
  <c r="J11" i="16"/>
  <c r="M11" i="16" s="1"/>
  <c r="H11" i="16"/>
  <c r="K11" i="16" s="1"/>
  <c r="L11" i="16" s="1"/>
  <c r="G11" i="16"/>
  <c r="F11" i="16"/>
  <c r="AB10" i="16"/>
  <c r="Z10" i="16"/>
  <c r="AA10" i="16" s="1"/>
  <c r="V10" i="16"/>
  <c r="Y10" i="16" s="1"/>
  <c r="T10" i="16"/>
  <c r="W10" i="16" s="1"/>
  <c r="X10" i="16" s="1"/>
  <c r="P10" i="16"/>
  <c r="S10" i="16" s="1"/>
  <c r="N10" i="16"/>
  <c r="O10" i="16" s="1"/>
  <c r="J10" i="16"/>
  <c r="M10" i="16" s="1"/>
  <c r="H10" i="16"/>
  <c r="K10" i="16" s="1"/>
  <c r="L10" i="16" s="1"/>
  <c r="G10" i="16"/>
  <c r="F10" i="16"/>
  <c r="D10" i="16"/>
  <c r="C10" i="16"/>
  <c r="B10" i="16"/>
  <c r="AB9" i="16"/>
  <c r="Z9" i="16"/>
  <c r="AA9" i="16" s="1"/>
  <c r="V9" i="16"/>
  <c r="Y9" i="16" s="1"/>
  <c r="T9" i="16"/>
  <c r="W9" i="16" s="1"/>
  <c r="X9" i="16" s="1"/>
  <c r="P9" i="16"/>
  <c r="S9" i="16" s="1"/>
  <c r="N9" i="16"/>
  <c r="O9" i="16" s="1"/>
  <c r="J9" i="16"/>
  <c r="M9" i="16" s="1"/>
  <c r="H9" i="16"/>
  <c r="K9" i="16" s="1"/>
  <c r="L9" i="16" s="1"/>
  <c r="G9" i="16"/>
  <c r="F9" i="16"/>
  <c r="D9" i="16"/>
  <c r="C9" i="16"/>
  <c r="B9" i="16"/>
  <c r="AB8" i="16"/>
  <c r="Z8" i="16"/>
  <c r="AA8" i="16" s="1"/>
  <c r="V8" i="16"/>
  <c r="Y8" i="16" s="1"/>
  <c r="T8" i="16"/>
  <c r="W8" i="16" s="1"/>
  <c r="X8" i="16" s="1"/>
  <c r="P8" i="16"/>
  <c r="S8" i="16" s="1"/>
  <c r="N8" i="16"/>
  <c r="O8" i="16" s="1"/>
  <c r="J8" i="16"/>
  <c r="M8" i="16" s="1"/>
  <c r="H8" i="16"/>
  <c r="K8" i="16" s="1"/>
  <c r="L8" i="16" s="1"/>
  <c r="G8" i="16"/>
  <c r="F8" i="16"/>
  <c r="D8" i="16"/>
  <c r="C8" i="16"/>
  <c r="B8" i="16"/>
  <c r="AB7" i="16"/>
  <c r="Z7" i="16"/>
  <c r="AA7" i="16" s="1"/>
  <c r="V7" i="16"/>
  <c r="Y7" i="16" s="1"/>
  <c r="T7" i="16"/>
  <c r="W7" i="16" s="1"/>
  <c r="X7" i="16" s="1"/>
  <c r="P7" i="16"/>
  <c r="S7" i="16" s="1"/>
  <c r="N7" i="16"/>
  <c r="Q7" i="16" s="1"/>
  <c r="R7" i="16" s="1"/>
  <c r="J7" i="16"/>
  <c r="M7" i="16" s="1"/>
  <c r="H7" i="16"/>
  <c r="K7" i="16" s="1"/>
  <c r="L7" i="16" s="1"/>
  <c r="G7" i="16"/>
  <c r="F7" i="16"/>
  <c r="D7" i="16"/>
  <c r="C7" i="16"/>
  <c r="B7" i="16"/>
  <c r="AB6" i="16"/>
  <c r="Z6" i="16"/>
  <c r="AA6" i="16" s="1"/>
  <c r="V6" i="16"/>
  <c r="Y6" i="16" s="1"/>
  <c r="T6" i="16"/>
  <c r="U6" i="16" s="1"/>
  <c r="P6" i="16"/>
  <c r="S6" i="16" s="1"/>
  <c r="N6" i="16"/>
  <c r="Q6" i="16" s="1"/>
  <c r="R6" i="16" s="1"/>
  <c r="J6" i="16"/>
  <c r="M6" i="16" s="1"/>
  <c r="H6" i="16"/>
  <c r="K6" i="16" s="1"/>
  <c r="L6" i="16" s="1"/>
  <c r="G6" i="16"/>
  <c r="F6" i="16"/>
  <c r="D6" i="16"/>
  <c r="C6" i="16"/>
  <c r="B6" i="16"/>
  <c r="C15" i="15"/>
  <c r="C9" i="15" s="1"/>
  <c r="C13" i="15"/>
  <c r="B13" i="15"/>
  <c r="E13" i="15"/>
  <c r="D13" i="15" s="1"/>
  <c r="AB10" i="15"/>
  <c r="Z10" i="15"/>
  <c r="AA10" i="15" s="1"/>
  <c r="V10" i="15"/>
  <c r="Y10" i="15" s="1"/>
  <c r="T10" i="15"/>
  <c r="W10" i="15" s="1"/>
  <c r="X10" i="15" s="1"/>
  <c r="P10" i="15"/>
  <c r="S10" i="15" s="1"/>
  <c r="N10" i="15"/>
  <c r="Q10" i="15" s="1"/>
  <c r="R10" i="15" s="1"/>
  <c r="J10" i="15"/>
  <c r="M10" i="15" s="1"/>
  <c r="H10" i="15"/>
  <c r="I10" i="15" s="1"/>
  <c r="G10" i="15"/>
  <c r="F10" i="15"/>
  <c r="D10" i="15"/>
  <c r="C10" i="15"/>
  <c r="B10" i="15"/>
  <c r="AB9" i="15"/>
  <c r="Z9" i="15"/>
  <c r="AA9" i="15" s="1"/>
  <c r="V9" i="15"/>
  <c r="Y9" i="15" s="1"/>
  <c r="T9" i="15"/>
  <c r="W9" i="15" s="1"/>
  <c r="X9" i="15" s="1"/>
  <c r="P9" i="15"/>
  <c r="S9" i="15" s="1"/>
  <c r="N9" i="15"/>
  <c r="Q9" i="15" s="1"/>
  <c r="R9" i="15" s="1"/>
  <c r="J9" i="15"/>
  <c r="M9" i="15" s="1"/>
  <c r="H9" i="15"/>
  <c r="K9" i="15" s="1"/>
  <c r="L9" i="15" s="1"/>
  <c r="G9" i="15"/>
  <c r="F9" i="15"/>
  <c r="D9" i="15"/>
  <c r="AB8" i="15"/>
  <c r="Z8" i="15"/>
  <c r="AA8" i="15" s="1"/>
  <c r="V8" i="15"/>
  <c r="Y8" i="15" s="1"/>
  <c r="T8" i="15"/>
  <c r="U8" i="15" s="1"/>
  <c r="P8" i="15"/>
  <c r="S8" i="15" s="1"/>
  <c r="N8" i="15"/>
  <c r="O8" i="15" s="1"/>
  <c r="J8" i="15"/>
  <c r="M8" i="15" s="1"/>
  <c r="H8" i="15"/>
  <c r="K8" i="15" s="1"/>
  <c r="L8" i="15" s="1"/>
  <c r="G8" i="15"/>
  <c r="F8" i="15"/>
  <c r="D8" i="15"/>
  <c r="C8" i="15"/>
  <c r="AB7" i="15"/>
  <c r="Z7" i="15"/>
  <c r="AA7" i="15" s="1"/>
  <c r="V7" i="15"/>
  <c r="Y7" i="15" s="1"/>
  <c r="T7" i="15"/>
  <c r="W7" i="15" s="1"/>
  <c r="X7" i="15" s="1"/>
  <c r="P7" i="15"/>
  <c r="S7" i="15" s="1"/>
  <c r="N7" i="15"/>
  <c r="Q7" i="15" s="1"/>
  <c r="R7" i="15" s="1"/>
  <c r="J7" i="15"/>
  <c r="M7" i="15" s="1"/>
  <c r="H7" i="15"/>
  <c r="K7" i="15" s="1"/>
  <c r="L7" i="15" s="1"/>
  <c r="G7" i="15"/>
  <c r="F7" i="15"/>
  <c r="C7" i="15"/>
  <c r="B7" i="15"/>
  <c r="AB6" i="15"/>
  <c r="Z6" i="15"/>
  <c r="AA6" i="15" s="1"/>
  <c r="V6" i="15"/>
  <c r="Y6" i="15" s="1"/>
  <c r="T6" i="15"/>
  <c r="W6" i="15" s="1"/>
  <c r="X6" i="15" s="1"/>
  <c r="P6" i="15"/>
  <c r="S6" i="15" s="1"/>
  <c r="N6" i="15"/>
  <c r="Q6" i="15" s="1"/>
  <c r="R6" i="15" s="1"/>
  <c r="J6" i="15"/>
  <c r="M6" i="15" s="1"/>
  <c r="H6" i="15"/>
  <c r="I6" i="15" s="1"/>
  <c r="G6" i="15"/>
  <c r="F6" i="15"/>
  <c r="D6" i="15"/>
  <c r="C6" i="15"/>
  <c r="B6" i="15"/>
  <c r="C15" i="14"/>
  <c r="C13" i="14"/>
  <c r="B13" i="14"/>
  <c r="E13" i="14"/>
  <c r="D13" i="14" s="1"/>
  <c r="AB10" i="14"/>
  <c r="Z10" i="14"/>
  <c r="AA10" i="14" s="1"/>
  <c r="V10" i="14"/>
  <c r="Y10" i="14" s="1"/>
  <c r="T10" i="14"/>
  <c r="W10" i="14" s="1"/>
  <c r="X10" i="14" s="1"/>
  <c r="P10" i="14"/>
  <c r="S10" i="14" s="1"/>
  <c r="N10" i="14"/>
  <c r="O10" i="14" s="1"/>
  <c r="J10" i="14"/>
  <c r="M10" i="14" s="1"/>
  <c r="H10" i="14"/>
  <c r="K10" i="14" s="1"/>
  <c r="L10" i="14" s="1"/>
  <c r="G10" i="14"/>
  <c r="F10" i="14"/>
  <c r="D10" i="14"/>
  <c r="C10" i="14"/>
  <c r="B10" i="14"/>
  <c r="AB9" i="14"/>
  <c r="Z9" i="14"/>
  <c r="AA9" i="14" s="1"/>
  <c r="V9" i="14"/>
  <c r="Y9" i="14" s="1"/>
  <c r="T9" i="14"/>
  <c r="U9" i="14" s="1"/>
  <c r="P9" i="14"/>
  <c r="S9" i="14" s="1"/>
  <c r="N9" i="14"/>
  <c r="Q9" i="14" s="1"/>
  <c r="R9" i="14" s="1"/>
  <c r="J9" i="14"/>
  <c r="M9" i="14" s="1"/>
  <c r="H9" i="14"/>
  <c r="K9" i="14" s="1"/>
  <c r="L9" i="14" s="1"/>
  <c r="G9" i="14"/>
  <c r="F9" i="14"/>
  <c r="D9" i="14"/>
  <c r="C9" i="14"/>
  <c r="B9" i="14"/>
  <c r="AB8" i="14"/>
  <c r="Z8" i="14"/>
  <c r="AA8" i="14" s="1"/>
  <c r="V8" i="14"/>
  <c r="Y8" i="14" s="1"/>
  <c r="T8" i="14"/>
  <c r="W8" i="14" s="1"/>
  <c r="X8" i="14" s="1"/>
  <c r="P8" i="14"/>
  <c r="S8" i="14" s="1"/>
  <c r="N8" i="14"/>
  <c r="O8" i="14" s="1"/>
  <c r="J8" i="14"/>
  <c r="M8" i="14" s="1"/>
  <c r="H8" i="14"/>
  <c r="K8" i="14" s="1"/>
  <c r="L8" i="14" s="1"/>
  <c r="G8" i="14"/>
  <c r="F8" i="14"/>
  <c r="D8" i="14"/>
  <c r="C8" i="14"/>
  <c r="B8" i="14"/>
  <c r="AB7" i="14"/>
  <c r="Z7" i="14"/>
  <c r="AA7" i="14" s="1"/>
  <c r="V7" i="14"/>
  <c r="Y7" i="14" s="1"/>
  <c r="T7" i="14"/>
  <c r="W7" i="14" s="1"/>
  <c r="X7" i="14" s="1"/>
  <c r="P7" i="14"/>
  <c r="S7" i="14" s="1"/>
  <c r="N7" i="14"/>
  <c r="Q7" i="14" s="1"/>
  <c r="R7" i="14" s="1"/>
  <c r="J7" i="14"/>
  <c r="M7" i="14" s="1"/>
  <c r="H7" i="14"/>
  <c r="I7" i="14" s="1"/>
  <c r="G7" i="14"/>
  <c r="F7" i="14"/>
  <c r="D7" i="14"/>
  <c r="C7" i="14"/>
  <c r="B7" i="14"/>
  <c r="AB6" i="14"/>
  <c r="Z6" i="14"/>
  <c r="AA6" i="14" s="1"/>
  <c r="V6" i="14"/>
  <c r="Y6" i="14" s="1"/>
  <c r="T6" i="14"/>
  <c r="U6" i="14" s="1"/>
  <c r="P6" i="14"/>
  <c r="S6" i="14" s="1"/>
  <c r="N6" i="14"/>
  <c r="O6" i="14" s="1"/>
  <c r="J6" i="14"/>
  <c r="M6" i="14" s="1"/>
  <c r="H6" i="14"/>
  <c r="K6" i="14" s="1"/>
  <c r="L6" i="14" s="1"/>
  <c r="G6" i="14"/>
  <c r="F6" i="14"/>
  <c r="D6" i="14"/>
  <c r="C6" i="14"/>
  <c r="B6" i="14"/>
  <c r="C15" i="13"/>
  <c r="AA13" i="13"/>
  <c r="Y13" i="13"/>
  <c r="W13" i="13"/>
  <c r="X13" i="13" s="1"/>
  <c r="U13" i="13"/>
  <c r="S13" i="13"/>
  <c r="Q13" i="13"/>
  <c r="R13" i="13" s="1"/>
  <c r="O13" i="13"/>
  <c r="M13" i="13"/>
  <c r="K13" i="13"/>
  <c r="L13" i="13" s="1"/>
  <c r="I13" i="13"/>
  <c r="C13" i="13"/>
  <c r="B13" i="13"/>
  <c r="AA12" i="13"/>
  <c r="Y12" i="13"/>
  <c r="W12" i="13"/>
  <c r="X12" i="13" s="1"/>
  <c r="U12" i="13"/>
  <c r="S12" i="13"/>
  <c r="Q12" i="13"/>
  <c r="R12" i="13" s="1"/>
  <c r="O12" i="13"/>
  <c r="M12" i="13"/>
  <c r="K12" i="13"/>
  <c r="L12" i="13" s="1"/>
  <c r="I12" i="13"/>
  <c r="E13" i="13"/>
  <c r="D13" i="13" s="1"/>
  <c r="AB11" i="13"/>
  <c r="Z11" i="13"/>
  <c r="AA11" i="13" s="1"/>
  <c r="V11" i="13"/>
  <c r="Y11" i="13" s="1"/>
  <c r="T11" i="13"/>
  <c r="U11" i="13" s="1"/>
  <c r="P11" i="13"/>
  <c r="S11" i="13" s="1"/>
  <c r="N11" i="13"/>
  <c r="Q11" i="13" s="1"/>
  <c r="R11" i="13" s="1"/>
  <c r="J11" i="13"/>
  <c r="M11" i="13" s="1"/>
  <c r="H11" i="13"/>
  <c r="K11" i="13" s="1"/>
  <c r="L11" i="13" s="1"/>
  <c r="G11" i="13"/>
  <c r="F11" i="13"/>
  <c r="AB10" i="13"/>
  <c r="Z10" i="13"/>
  <c r="AA10" i="13" s="1"/>
  <c r="V10" i="13"/>
  <c r="Y10" i="13" s="1"/>
  <c r="T10" i="13"/>
  <c r="U10" i="13" s="1"/>
  <c r="P10" i="13"/>
  <c r="S10" i="13" s="1"/>
  <c r="N10" i="13"/>
  <c r="Q10" i="13" s="1"/>
  <c r="R10" i="13" s="1"/>
  <c r="J10" i="13"/>
  <c r="M10" i="13" s="1"/>
  <c r="H10" i="13"/>
  <c r="I10" i="13" s="1"/>
  <c r="G10" i="13"/>
  <c r="F10" i="13"/>
  <c r="D10" i="13"/>
  <c r="C10" i="13"/>
  <c r="B10" i="13"/>
  <c r="AB9" i="13"/>
  <c r="Z9" i="13"/>
  <c r="AA9" i="13" s="1"/>
  <c r="V9" i="13"/>
  <c r="Y9" i="13" s="1"/>
  <c r="T9" i="13"/>
  <c r="U9" i="13" s="1"/>
  <c r="P9" i="13"/>
  <c r="S9" i="13" s="1"/>
  <c r="N9" i="13"/>
  <c r="O9" i="13" s="1"/>
  <c r="J9" i="13"/>
  <c r="M9" i="13" s="1"/>
  <c r="H9" i="13"/>
  <c r="K9" i="13" s="1"/>
  <c r="L9" i="13" s="1"/>
  <c r="G9" i="13"/>
  <c r="F9" i="13"/>
  <c r="D9" i="13"/>
  <c r="C9" i="13"/>
  <c r="B9" i="13"/>
  <c r="AB8" i="13"/>
  <c r="Z8" i="13"/>
  <c r="AA8" i="13" s="1"/>
  <c r="V8" i="13"/>
  <c r="Y8" i="13" s="1"/>
  <c r="T8" i="13"/>
  <c r="U8" i="13" s="1"/>
  <c r="P8" i="13"/>
  <c r="S8" i="13" s="1"/>
  <c r="N8" i="13"/>
  <c r="Q8" i="13" s="1"/>
  <c r="R8" i="13" s="1"/>
  <c r="J8" i="13"/>
  <c r="M8" i="13" s="1"/>
  <c r="H8" i="13"/>
  <c r="I8" i="13" s="1"/>
  <c r="G8" i="13"/>
  <c r="F8" i="13"/>
  <c r="D8" i="13"/>
  <c r="C8" i="13"/>
  <c r="B8" i="13"/>
  <c r="AB7" i="13"/>
  <c r="Z7" i="13"/>
  <c r="AA7" i="13" s="1"/>
  <c r="V7" i="13"/>
  <c r="Y7" i="13" s="1"/>
  <c r="T7" i="13"/>
  <c r="W7" i="13" s="1"/>
  <c r="X7" i="13" s="1"/>
  <c r="P7" i="13"/>
  <c r="S7" i="13" s="1"/>
  <c r="N7" i="13"/>
  <c r="O7" i="13" s="1"/>
  <c r="J7" i="13"/>
  <c r="M7" i="13" s="1"/>
  <c r="H7" i="13"/>
  <c r="K7" i="13" s="1"/>
  <c r="L7" i="13" s="1"/>
  <c r="G7" i="13"/>
  <c r="F7" i="13"/>
  <c r="D7" i="13"/>
  <c r="C7" i="13"/>
  <c r="B7" i="13"/>
  <c r="AB6" i="13"/>
  <c r="Z6" i="13"/>
  <c r="AA6" i="13" s="1"/>
  <c r="V6" i="13"/>
  <c r="Y6" i="13" s="1"/>
  <c r="T6" i="13"/>
  <c r="U6" i="13" s="1"/>
  <c r="P6" i="13"/>
  <c r="S6" i="13" s="1"/>
  <c r="N6" i="13"/>
  <c r="Q6" i="13" s="1"/>
  <c r="R6" i="13" s="1"/>
  <c r="J6" i="13"/>
  <c r="M6" i="13" s="1"/>
  <c r="H6" i="13"/>
  <c r="I6" i="13" s="1"/>
  <c r="G6" i="13"/>
  <c r="F6" i="13"/>
  <c r="D6" i="13"/>
  <c r="C6" i="13"/>
  <c r="B6" i="13"/>
  <c r="C15" i="12"/>
  <c r="E13" i="12"/>
  <c r="D13" i="12" s="1"/>
  <c r="C13" i="12"/>
  <c r="B13" i="12" s="1"/>
  <c r="AA10" i="12"/>
  <c r="Y10" i="12"/>
  <c r="W10" i="12"/>
  <c r="X10" i="12" s="1"/>
  <c r="U10" i="12"/>
  <c r="S10" i="12"/>
  <c r="Q10" i="12"/>
  <c r="R10" i="12" s="1"/>
  <c r="O10" i="12"/>
  <c r="M10" i="12"/>
  <c r="K10" i="12"/>
  <c r="L10" i="12" s="1"/>
  <c r="I10" i="12"/>
  <c r="D10" i="12"/>
  <c r="C10" i="12"/>
  <c r="B10" i="12"/>
  <c r="AB9" i="12"/>
  <c r="Z9" i="12"/>
  <c r="AA9" i="12" s="1"/>
  <c r="V9" i="12"/>
  <c r="Y9" i="12" s="1"/>
  <c r="T9" i="12"/>
  <c r="P9" i="12"/>
  <c r="S9" i="12" s="1"/>
  <c r="N9" i="12"/>
  <c r="O9" i="12" s="1"/>
  <c r="J9" i="12"/>
  <c r="M9" i="12" s="1"/>
  <c r="H9" i="12"/>
  <c r="K9" i="12" s="1"/>
  <c r="L9" i="12" s="1"/>
  <c r="G9" i="12"/>
  <c r="F9" i="12"/>
  <c r="D9" i="12"/>
  <c r="C9" i="12"/>
  <c r="B9" i="12"/>
  <c r="AB8" i="12"/>
  <c r="Z8" i="12"/>
  <c r="AA8" i="12" s="1"/>
  <c r="V8" i="12"/>
  <c r="Y8" i="12" s="1"/>
  <c r="T8" i="12"/>
  <c r="W8" i="12" s="1"/>
  <c r="X8" i="12" s="1"/>
  <c r="P8" i="12"/>
  <c r="S8" i="12" s="1"/>
  <c r="N8" i="12"/>
  <c r="J8" i="12"/>
  <c r="M8" i="12" s="1"/>
  <c r="H8" i="12"/>
  <c r="K8" i="12" s="1"/>
  <c r="L8" i="12" s="1"/>
  <c r="G8" i="12"/>
  <c r="F8" i="12"/>
  <c r="D8" i="12"/>
  <c r="C8" i="12"/>
  <c r="B8" i="12"/>
  <c r="AB7" i="12"/>
  <c r="Z7" i="12"/>
  <c r="AA7" i="12" s="1"/>
  <c r="V7" i="12"/>
  <c r="Y7" i="12" s="1"/>
  <c r="T7" i="12"/>
  <c r="W7" i="12" s="1"/>
  <c r="X7" i="12" s="1"/>
  <c r="P7" i="12"/>
  <c r="S7" i="12" s="1"/>
  <c r="N7" i="12"/>
  <c r="Q7" i="12" s="1"/>
  <c r="R7" i="12" s="1"/>
  <c r="J7" i="12"/>
  <c r="M7" i="12" s="1"/>
  <c r="H7" i="12"/>
  <c r="G7" i="12"/>
  <c r="F7" i="12"/>
  <c r="D7" i="12"/>
  <c r="C7" i="12"/>
  <c r="B7" i="12"/>
  <c r="AB6" i="12"/>
  <c r="Z6" i="12"/>
  <c r="AA6" i="12" s="1"/>
  <c r="V6" i="12"/>
  <c r="Y6" i="12" s="1"/>
  <c r="T6" i="12"/>
  <c r="W6" i="12" s="1"/>
  <c r="X6" i="12" s="1"/>
  <c r="P6" i="12"/>
  <c r="S6" i="12" s="1"/>
  <c r="N6" i="12"/>
  <c r="Q6" i="12" s="1"/>
  <c r="R6" i="12" s="1"/>
  <c r="J6" i="12"/>
  <c r="M6" i="12" s="1"/>
  <c r="H6" i="12"/>
  <c r="K6" i="12" s="1"/>
  <c r="L6" i="12" s="1"/>
  <c r="G6" i="12"/>
  <c r="F6" i="12"/>
  <c r="D6" i="12"/>
  <c r="C6" i="12"/>
  <c r="B6" i="12"/>
  <c r="C15" i="11"/>
  <c r="E13" i="11"/>
  <c r="D13" i="11" s="1"/>
  <c r="C13" i="11"/>
  <c r="B13" i="11" s="1"/>
  <c r="AA10" i="11"/>
  <c r="Y10" i="11"/>
  <c r="W10" i="11"/>
  <c r="X10" i="11" s="1"/>
  <c r="U10" i="11"/>
  <c r="S10" i="11"/>
  <c r="Q10" i="11"/>
  <c r="R10" i="11" s="1"/>
  <c r="O10" i="11"/>
  <c r="M10" i="11"/>
  <c r="K10" i="11"/>
  <c r="L10" i="11" s="1"/>
  <c r="I10" i="11"/>
  <c r="D10" i="11"/>
  <c r="C10" i="11"/>
  <c r="B10" i="11"/>
  <c r="AA9" i="11"/>
  <c r="Y9" i="11"/>
  <c r="W9" i="11"/>
  <c r="X9" i="11" s="1"/>
  <c r="U9" i="11"/>
  <c r="S9" i="11"/>
  <c r="Q9" i="11"/>
  <c r="R9" i="11" s="1"/>
  <c r="O9" i="11"/>
  <c r="M9" i="11"/>
  <c r="K9" i="11"/>
  <c r="L9" i="11" s="1"/>
  <c r="I9" i="11"/>
  <c r="D9" i="11"/>
  <c r="C9" i="11"/>
  <c r="B9" i="11"/>
  <c r="AB8" i="11"/>
  <c r="Z8" i="11"/>
  <c r="AA8" i="11" s="1"/>
  <c r="V8" i="11"/>
  <c r="Y8" i="11" s="1"/>
  <c r="T8" i="11"/>
  <c r="W8" i="11" s="1"/>
  <c r="X8" i="11" s="1"/>
  <c r="P8" i="11"/>
  <c r="S8" i="11" s="1"/>
  <c r="N8" i="11"/>
  <c r="Q8" i="11" s="1"/>
  <c r="R8" i="11" s="1"/>
  <c r="J8" i="11"/>
  <c r="M8" i="11" s="1"/>
  <c r="H8" i="11"/>
  <c r="K8" i="11" s="1"/>
  <c r="L8" i="11" s="1"/>
  <c r="G8" i="11"/>
  <c r="F8" i="11"/>
  <c r="D8" i="11"/>
  <c r="C8" i="11"/>
  <c r="B8" i="11"/>
  <c r="AB7" i="11"/>
  <c r="Z7" i="11"/>
  <c r="AA7" i="11" s="1"/>
  <c r="V7" i="11"/>
  <c r="Y7" i="11" s="1"/>
  <c r="T7" i="11"/>
  <c r="P7" i="11"/>
  <c r="S7" i="11" s="1"/>
  <c r="N7" i="11"/>
  <c r="Q7" i="11" s="1"/>
  <c r="R7" i="11" s="1"/>
  <c r="J7" i="11"/>
  <c r="M7" i="11" s="1"/>
  <c r="H7" i="11"/>
  <c r="I7" i="11" s="1"/>
  <c r="G7" i="11"/>
  <c r="F7" i="11"/>
  <c r="D7" i="11"/>
  <c r="C7" i="11"/>
  <c r="B7" i="11"/>
  <c r="AB6" i="11"/>
  <c r="Z6" i="11"/>
  <c r="AA6" i="11" s="1"/>
  <c r="V6" i="11"/>
  <c r="Y6" i="11" s="1"/>
  <c r="T6" i="11"/>
  <c r="W6" i="11" s="1"/>
  <c r="X6" i="11" s="1"/>
  <c r="P6" i="11"/>
  <c r="S6" i="11" s="1"/>
  <c r="N6" i="11"/>
  <c r="Q6" i="11" s="1"/>
  <c r="R6" i="11" s="1"/>
  <c r="J6" i="11"/>
  <c r="M6" i="11" s="1"/>
  <c r="H6" i="11"/>
  <c r="K6" i="11" s="1"/>
  <c r="L6" i="11" s="1"/>
  <c r="G6" i="11"/>
  <c r="F6" i="11"/>
  <c r="D6" i="11"/>
  <c r="C6" i="11"/>
  <c r="B6" i="11"/>
  <c r="C15" i="10"/>
  <c r="C13" i="10"/>
  <c r="B13" i="10"/>
  <c r="AA10" i="10"/>
  <c r="Y10" i="10"/>
  <c r="X10" i="10"/>
  <c r="W10" i="10"/>
  <c r="U10" i="10"/>
  <c r="S10" i="10"/>
  <c r="R10" i="10"/>
  <c r="Q10" i="10"/>
  <c r="O10" i="10"/>
  <c r="M10" i="10"/>
  <c r="L10" i="10"/>
  <c r="K10" i="10"/>
  <c r="I10" i="10"/>
  <c r="D10" i="10"/>
  <c r="C10" i="10"/>
  <c r="B10" i="10"/>
  <c r="AA9" i="10"/>
  <c r="Y9" i="10"/>
  <c r="X9" i="10"/>
  <c r="W9" i="10"/>
  <c r="U9" i="10"/>
  <c r="S9" i="10"/>
  <c r="R9" i="10"/>
  <c r="Q9" i="10"/>
  <c r="O9" i="10"/>
  <c r="M9" i="10"/>
  <c r="L9" i="10"/>
  <c r="K9" i="10"/>
  <c r="I9" i="10"/>
  <c r="D9" i="10"/>
  <c r="C9" i="10"/>
  <c r="B9" i="10"/>
  <c r="AB8" i="10"/>
  <c r="Z8" i="10"/>
  <c r="AA8" i="10" s="1"/>
  <c r="V8" i="10"/>
  <c r="Y8" i="10" s="1"/>
  <c r="T8" i="10"/>
  <c r="U8" i="10" s="1"/>
  <c r="P8" i="10"/>
  <c r="S8" i="10" s="1"/>
  <c r="N8" i="10"/>
  <c r="O8" i="10" s="1"/>
  <c r="J8" i="10"/>
  <c r="M8" i="10" s="1"/>
  <c r="H8" i="10"/>
  <c r="K8" i="10" s="1"/>
  <c r="L8" i="10" s="1"/>
  <c r="G8" i="10"/>
  <c r="F8" i="10"/>
  <c r="D8" i="10"/>
  <c r="C8" i="10"/>
  <c r="B8" i="10"/>
  <c r="AB7" i="10"/>
  <c r="Z7" i="10"/>
  <c r="AA7" i="10" s="1"/>
  <c r="V7" i="10"/>
  <c r="Y7" i="10" s="1"/>
  <c r="T7" i="10"/>
  <c r="W7" i="10" s="1"/>
  <c r="X7" i="10" s="1"/>
  <c r="P7" i="10"/>
  <c r="S7" i="10" s="1"/>
  <c r="N7" i="10"/>
  <c r="J7" i="10"/>
  <c r="M7" i="10" s="1"/>
  <c r="H7" i="10"/>
  <c r="I7" i="10" s="1"/>
  <c r="G7" i="10"/>
  <c r="F7" i="10"/>
  <c r="D7" i="10"/>
  <c r="C7" i="10"/>
  <c r="B7" i="10"/>
  <c r="AB6" i="10"/>
  <c r="Z6" i="10"/>
  <c r="AA6" i="10" s="1"/>
  <c r="V6" i="10"/>
  <c r="Y6" i="10" s="1"/>
  <c r="T6" i="10"/>
  <c r="W6" i="10" s="1"/>
  <c r="X6" i="10" s="1"/>
  <c r="P6" i="10"/>
  <c r="S6" i="10" s="1"/>
  <c r="N6" i="10"/>
  <c r="O6" i="10" s="1"/>
  <c r="J6" i="10"/>
  <c r="M6" i="10" s="1"/>
  <c r="H6" i="10"/>
  <c r="I6" i="10" s="1"/>
  <c r="G6" i="10"/>
  <c r="F6" i="10"/>
  <c r="D6" i="10"/>
  <c r="C6" i="10"/>
  <c r="B6" i="10"/>
  <c r="C15" i="9"/>
  <c r="E13" i="9"/>
  <c r="D13" i="9"/>
  <c r="C13" i="9"/>
  <c r="B13" i="9"/>
  <c r="AA10" i="9"/>
  <c r="Y10" i="9"/>
  <c r="X10" i="9"/>
  <c r="W10" i="9"/>
  <c r="U10" i="9"/>
  <c r="S10" i="9"/>
  <c r="R10" i="9"/>
  <c r="Q10" i="9"/>
  <c r="O10" i="9"/>
  <c r="M10" i="9"/>
  <c r="L10" i="9"/>
  <c r="K10" i="9"/>
  <c r="I10" i="9"/>
  <c r="D10" i="9"/>
  <c r="C10" i="9"/>
  <c r="B10" i="9"/>
  <c r="AB9" i="9"/>
  <c r="Z9" i="9"/>
  <c r="AA9" i="9" s="1"/>
  <c r="V9" i="9"/>
  <c r="Y9" i="9" s="1"/>
  <c r="T9" i="9"/>
  <c r="W9" i="9" s="1"/>
  <c r="X9" i="9" s="1"/>
  <c r="P9" i="9"/>
  <c r="S9" i="9" s="1"/>
  <c r="N9" i="9"/>
  <c r="O9" i="9" s="1"/>
  <c r="J9" i="9"/>
  <c r="M9" i="9" s="1"/>
  <c r="H9" i="9"/>
  <c r="K9" i="9" s="1"/>
  <c r="L9" i="9" s="1"/>
  <c r="G9" i="9"/>
  <c r="F9" i="9"/>
  <c r="D9" i="9"/>
  <c r="C9" i="9"/>
  <c r="B9" i="9"/>
  <c r="AB8" i="9"/>
  <c r="Z8" i="9"/>
  <c r="AA8" i="9" s="1"/>
  <c r="V8" i="9"/>
  <c r="Y8" i="9" s="1"/>
  <c r="T8" i="9"/>
  <c r="W8" i="9" s="1"/>
  <c r="X8" i="9" s="1"/>
  <c r="P8" i="9"/>
  <c r="S8" i="9" s="1"/>
  <c r="N8" i="9"/>
  <c r="O8" i="9" s="1"/>
  <c r="J8" i="9"/>
  <c r="M8" i="9" s="1"/>
  <c r="H8" i="9"/>
  <c r="K8" i="9" s="1"/>
  <c r="L8" i="9" s="1"/>
  <c r="G8" i="9"/>
  <c r="F8" i="9"/>
  <c r="D8" i="9"/>
  <c r="C8" i="9"/>
  <c r="B8" i="9"/>
  <c r="AB7" i="9"/>
  <c r="Z7" i="9"/>
  <c r="AA7" i="9" s="1"/>
  <c r="V7" i="9"/>
  <c r="Y7" i="9" s="1"/>
  <c r="T7" i="9"/>
  <c r="W7" i="9" s="1"/>
  <c r="X7" i="9" s="1"/>
  <c r="P7" i="9"/>
  <c r="S7" i="9" s="1"/>
  <c r="N7" i="9"/>
  <c r="Q7" i="9" s="1"/>
  <c r="R7" i="9" s="1"/>
  <c r="J7" i="9"/>
  <c r="M7" i="9" s="1"/>
  <c r="H7" i="9"/>
  <c r="K7" i="9" s="1"/>
  <c r="L7" i="9" s="1"/>
  <c r="G7" i="9"/>
  <c r="F7" i="9"/>
  <c r="D7" i="9"/>
  <c r="C7" i="9"/>
  <c r="B7" i="9"/>
  <c r="AB6" i="9"/>
  <c r="Z6" i="9"/>
  <c r="AA6" i="9" s="1"/>
  <c r="V6" i="9"/>
  <c r="Y6" i="9" s="1"/>
  <c r="T6" i="9"/>
  <c r="P6" i="9"/>
  <c r="S6" i="9" s="1"/>
  <c r="N6" i="9"/>
  <c r="Q6" i="9" s="1"/>
  <c r="R6" i="9" s="1"/>
  <c r="J6" i="9"/>
  <c r="M6" i="9" s="1"/>
  <c r="H6" i="9"/>
  <c r="I6" i="9" s="1"/>
  <c r="G6" i="9"/>
  <c r="F6" i="9"/>
  <c r="D6" i="9"/>
  <c r="C6" i="9"/>
  <c r="B6" i="9"/>
  <c r="C15" i="8"/>
  <c r="C13" i="8"/>
  <c r="B13" i="8"/>
  <c r="AA10" i="8"/>
  <c r="Y10" i="8"/>
  <c r="X10" i="8"/>
  <c r="W10" i="8"/>
  <c r="U10" i="8"/>
  <c r="S10" i="8"/>
  <c r="Q10" i="8"/>
  <c r="R10" i="8" s="1"/>
  <c r="O10" i="8"/>
  <c r="M10" i="8"/>
  <c r="L10" i="8"/>
  <c r="K10" i="8"/>
  <c r="I10" i="8"/>
  <c r="D10" i="8"/>
  <c r="C10" i="8"/>
  <c r="B10" i="8"/>
  <c r="AA9" i="8"/>
  <c r="Y9" i="8"/>
  <c r="X9" i="8"/>
  <c r="W9" i="8"/>
  <c r="U9" i="8"/>
  <c r="S9" i="8"/>
  <c r="Q9" i="8"/>
  <c r="R9" i="8" s="1"/>
  <c r="O9" i="8"/>
  <c r="M9" i="8"/>
  <c r="L9" i="8"/>
  <c r="K9" i="8"/>
  <c r="I9" i="8"/>
  <c r="D9" i="8"/>
  <c r="C9" i="8"/>
  <c r="B9" i="8"/>
  <c r="AA8" i="8"/>
  <c r="Y8" i="8"/>
  <c r="X8" i="8"/>
  <c r="W8" i="8"/>
  <c r="U8" i="8"/>
  <c r="S8" i="8"/>
  <c r="Q8" i="8"/>
  <c r="R8" i="8" s="1"/>
  <c r="O8" i="8"/>
  <c r="M8" i="8"/>
  <c r="L8" i="8"/>
  <c r="K8" i="8"/>
  <c r="I8" i="8"/>
  <c r="D8" i="8"/>
  <c r="C8" i="8"/>
  <c r="B8" i="8"/>
  <c r="AB7" i="8"/>
  <c r="Z7" i="8"/>
  <c r="AA7" i="8" s="1"/>
  <c r="V7" i="8"/>
  <c r="Y7" i="8" s="1"/>
  <c r="T7" i="8"/>
  <c r="W7" i="8" s="1"/>
  <c r="X7" i="8" s="1"/>
  <c r="P7" i="8"/>
  <c r="S7" i="8" s="1"/>
  <c r="N7" i="8"/>
  <c r="Q7" i="8" s="1"/>
  <c r="R7" i="8" s="1"/>
  <c r="J7" i="8"/>
  <c r="M7" i="8" s="1"/>
  <c r="H7" i="8"/>
  <c r="I7" i="8" s="1"/>
  <c r="G7" i="8"/>
  <c r="F7" i="8"/>
  <c r="D7" i="8"/>
  <c r="C7" i="8"/>
  <c r="B7" i="8"/>
  <c r="AB6" i="8"/>
  <c r="Z6" i="8"/>
  <c r="AA6" i="8" s="1"/>
  <c r="V6" i="8"/>
  <c r="Y6" i="8" s="1"/>
  <c r="T6" i="8"/>
  <c r="P6" i="8"/>
  <c r="S6" i="8" s="1"/>
  <c r="N6" i="8"/>
  <c r="Q6" i="8" s="1"/>
  <c r="R6" i="8" s="1"/>
  <c r="J6" i="8"/>
  <c r="M6" i="8" s="1"/>
  <c r="H6" i="8"/>
  <c r="I6" i="8" s="1"/>
  <c r="G6" i="8"/>
  <c r="F6" i="8"/>
  <c r="D6" i="8"/>
  <c r="C6" i="8"/>
  <c r="B6" i="8"/>
  <c r="C20" i="7"/>
  <c r="C19" i="7"/>
  <c r="B18" i="7"/>
  <c r="C13" i="7"/>
  <c r="B13" i="7"/>
  <c r="AA10" i="7"/>
  <c r="Y10" i="7"/>
  <c r="X10" i="7"/>
  <c r="W10" i="7"/>
  <c r="U10" i="7"/>
  <c r="S10" i="7"/>
  <c r="R10" i="7"/>
  <c r="Q10" i="7"/>
  <c r="O10" i="7"/>
  <c r="M10" i="7"/>
  <c r="L10" i="7"/>
  <c r="K10" i="7"/>
  <c r="I10" i="7"/>
  <c r="D10" i="7"/>
  <c r="C10" i="7"/>
  <c r="B10" i="7"/>
  <c r="AA9" i="7"/>
  <c r="Y9" i="7"/>
  <c r="X9" i="7"/>
  <c r="W9" i="7"/>
  <c r="U9" i="7"/>
  <c r="S9" i="7"/>
  <c r="R9" i="7"/>
  <c r="Q9" i="7"/>
  <c r="O9" i="7"/>
  <c r="M9" i="7"/>
  <c r="L9" i="7"/>
  <c r="K9" i="7"/>
  <c r="I9" i="7"/>
  <c r="D9" i="7"/>
  <c r="C9" i="7"/>
  <c r="B9" i="7"/>
  <c r="AA8" i="7"/>
  <c r="Y8" i="7"/>
  <c r="X8" i="7"/>
  <c r="W8" i="7"/>
  <c r="U8" i="7"/>
  <c r="S8" i="7"/>
  <c r="R8" i="7"/>
  <c r="Q8" i="7"/>
  <c r="O8" i="7"/>
  <c r="M8" i="7"/>
  <c r="L8" i="7"/>
  <c r="K8" i="7"/>
  <c r="I8" i="7"/>
  <c r="D8" i="7"/>
  <c r="C8" i="7"/>
  <c r="B8" i="7"/>
  <c r="AA7" i="7"/>
  <c r="Y7" i="7"/>
  <c r="X7" i="7"/>
  <c r="W7" i="7"/>
  <c r="U7" i="7"/>
  <c r="S7" i="7"/>
  <c r="R7" i="7"/>
  <c r="Q7" i="7"/>
  <c r="O7" i="7"/>
  <c r="M7" i="7"/>
  <c r="L7" i="7"/>
  <c r="K7" i="7"/>
  <c r="I7" i="7"/>
  <c r="D7" i="7"/>
  <c r="C7" i="7"/>
  <c r="B7" i="7"/>
  <c r="AB6" i="7"/>
  <c r="Z6" i="7"/>
  <c r="AA6" i="7" s="1"/>
  <c r="V6" i="7"/>
  <c r="Y6" i="7" s="1"/>
  <c r="T6" i="7"/>
  <c r="W6" i="7" s="1"/>
  <c r="X6" i="7" s="1"/>
  <c r="P6" i="7"/>
  <c r="S6" i="7" s="1"/>
  <c r="N6" i="7"/>
  <c r="Q6" i="7" s="1"/>
  <c r="R6" i="7" s="1"/>
  <c r="J6" i="7"/>
  <c r="M6" i="7" s="1"/>
  <c r="H6" i="7"/>
  <c r="G6" i="7"/>
  <c r="F6" i="7"/>
  <c r="D6" i="7"/>
  <c r="C6" i="7"/>
  <c r="B6" i="7"/>
  <c r="C20" i="6"/>
  <c r="C19" i="6"/>
  <c r="B18" i="6"/>
  <c r="C13" i="6"/>
  <c r="B13" i="6"/>
  <c r="AA10" i="6"/>
  <c r="Y10" i="6"/>
  <c r="X10" i="6"/>
  <c r="W10" i="6"/>
  <c r="U10" i="6"/>
  <c r="S10" i="6"/>
  <c r="R10" i="6"/>
  <c r="Q10" i="6"/>
  <c r="O10" i="6"/>
  <c r="M10" i="6"/>
  <c r="L10" i="6"/>
  <c r="K10" i="6"/>
  <c r="I10" i="6"/>
  <c r="D10" i="6"/>
  <c r="C10" i="6"/>
  <c r="B10" i="6"/>
  <c r="AA9" i="6"/>
  <c r="Y9" i="6"/>
  <c r="X9" i="6"/>
  <c r="W9" i="6"/>
  <c r="U9" i="6"/>
  <c r="S9" i="6"/>
  <c r="R9" i="6"/>
  <c r="Q9" i="6"/>
  <c r="O9" i="6"/>
  <c r="M9" i="6"/>
  <c r="L9" i="6"/>
  <c r="K9" i="6"/>
  <c r="I9" i="6"/>
  <c r="D9" i="6"/>
  <c r="C9" i="6"/>
  <c r="B9" i="6"/>
  <c r="AA8" i="6"/>
  <c r="Y8" i="6"/>
  <c r="X8" i="6"/>
  <c r="W8" i="6"/>
  <c r="U8" i="6"/>
  <c r="S8" i="6"/>
  <c r="R8" i="6"/>
  <c r="Q8" i="6"/>
  <c r="O8" i="6"/>
  <c r="M8" i="6"/>
  <c r="L8" i="6"/>
  <c r="K8" i="6"/>
  <c r="I8" i="6"/>
  <c r="D8" i="6"/>
  <c r="C8" i="6"/>
  <c r="B8" i="6"/>
  <c r="AB7" i="6"/>
  <c r="Z7" i="6"/>
  <c r="AA7" i="6" s="1"/>
  <c r="V7" i="6"/>
  <c r="Y7" i="6" s="1"/>
  <c r="T7" i="6"/>
  <c r="U7" i="6" s="1"/>
  <c r="P7" i="6"/>
  <c r="S7" i="6" s="1"/>
  <c r="N7" i="6"/>
  <c r="J7" i="6"/>
  <c r="M7" i="6" s="1"/>
  <c r="H7" i="6"/>
  <c r="I7" i="6" s="1"/>
  <c r="G7" i="6"/>
  <c r="F7" i="6"/>
  <c r="D7" i="6"/>
  <c r="C7" i="6"/>
  <c r="B7" i="6"/>
  <c r="AB6" i="6"/>
  <c r="Z6" i="6"/>
  <c r="AA6" i="6" s="1"/>
  <c r="V6" i="6"/>
  <c r="Y6" i="6" s="1"/>
  <c r="T6" i="6"/>
  <c r="U6" i="6" s="1"/>
  <c r="P6" i="6"/>
  <c r="S6" i="6" s="1"/>
  <c r="N6" i="6"/>
  <c r="Q6" i="6" s="1"/>
  <c r="R6" i="6" s="1"/>
  <c r="J6" i="6"/>
  <c r="M6" i="6" s="1"/>
  <c r="H6" i="6"/>
  <c r="K6" i="6" s="1"/>
  <c r="L6" i="6" s="1"/>
  <c r="G6" i="6"/>
  <c r="F6" i="6"/>
  <c r="D6" i="6"/>
  <c r="C6" i="6"/>
  <c r="B6" i="6"/>
  <c r="C19" i="5"/>
  <c r="B18" i="5"/>
  <c r="C13" i="5"/>
  <c r="B13" i="5" s="1"/>
  <c r="AA10" i="5"/>
  <c r="Y10" i="5"/>
  <c r="W10" i="5"/>
  <c r="X10" i="5" s="1"/>
  <c r="U10" i="5"/>
  <c r="S10" i="5"/>
  <c r="Q10" i="5"/>
  <c r="R10" i="5" s="1"/>
  <c r="O10" i="5"/>
  <c r="M10" i="5"/>
  <c r="K10" i="5"/>
  <c r="L10" i="5" s="1"/>
  <c r="I10" i="5"/>
  <c r="D10" i="5"/>
  <c r="C10" i="5"/>
  <c r="B10" i="5"/>
  <c r="AA9" i="5"/>
  <c r="Y9" i="5"/>
  <c r="W9" i="5"/>
  <c r="X9" i="5" s="1"/>
  <c r="U9" i="5"/>
  <c r="S9" i="5"/>
  <c r="Q9" i="5"/>
  <c r="R9" i="5" s="1"/>
  <c r="O9" i="5"/>
  <c r="M9" i="5"/>
  <c r="K9" i="5"/>
  <c r="L9" i="5" s="1"/>
  <c r="I9" i="5"/>
  <c r="D9" i="5"/>
  <c r="C9" i="5"/>
  <c r="B9" i="5"/>
  <c r="AB8" i="5"/>
  <c r="Z8" i="5"/>
  <c r="AA8" i="5" s="1"/>
  <c r="V8" i="5"/>
  <c r="Y8" i="5" s="1"/>
  <c r="T8" i="5"/>
  <c r="W8" i="5" s="1"/>
  <c r="X8" i="5" s="1"/>
  <c r="P8" i="5"/>
  <c r="S8" i="5" s="1"/>
  <c r="N8" i="5"/>
  <c r="Q8" i="5" s="1"/>
  <c r="R8" i="5" s="1"/>
  <c r="J8" i="5"/>
  <c r="M8" i="5" s="1"/>
  <c r="H8" i="5"/>
  <c r="I8" i="5" s="1"/>
  <c r="G8" i="5"/>
  <c r="F8" i="5"/>
  <c r="D8" i="5"/>
  <c r="C8" i="5"/>
  <c r="B8" i="5"/>
  <c r="AB7" i="5"/>
  <c r="Z7" i="5"/>
  <c r="AA7" i="5" s="1"/>
  <c r="V7" i="5"/>
  <c r="Y7" i="5" s="1"/>
  <c r="T7" i="5"/>
  <c r="W7" i="5" s="1"/>
  <c r="X7" i="5" s="1"/>
  <c r="P7" i="5"/>
  <c r="S7" i="5" s="1"/>
  <c r="N7" i="5"/>
  <c r="Q7" i="5" s="1"/>
  <c r="R7" i="5" s="1"/>
  <c r="J7" i="5"/>
  <c r="M7" i="5" s="1"/>
  <c r="H7" i="5"/>
  <c r="K7" i="5" s="1"/>
  <c r="L7" i="5" s="1"/>
  <c r="G7" i="5"/>
  <c r="F7" i="5"/>
  <c r="D7" i="5"/>
  <c r="C7" i="5"/>
  <c r="B7" i="5"/>
  <c r="AB6" i="5"/>
  <c r="Z6" i="5"/>
  <c r="AA6" i="5" s="1"/>
  <c r="V6" i="5"/>
  <c r="Y6" i="5" s="1"/>
  <c r="T6" i="5"/>
  <c r="U6" i="5" s="1"/>
  <c r="P6" i="5"/>
  <c r="S6" i="5" s="1"/>
  <c r="N6" i="5"/>
  <c r="O6" i="5" s="1"/>
  <c r="J6" i="5"/>
  <c r="M6" i="5" s="1"/>
  <c r="H6" i="5"/>
  <c r="K6" i="5" s="1"/>
  <c r="L6" i="5" s="1"/>
  <c r="G6" i="5"/>
  <c r="F6" i="5"/>
  <c r="D6" i="5"/>
  <c r="C6" i="5"/>
  <c r="B6" i="5"/>
  <c r="C19" i="4"/>
  <c r="C20" i="4" s="1"/>
  <c r="B18" i="4"/>
  <c r="C13" i="4"/>
  <c r="B13" i="4"/>
  <c r="AA10" i="4"/>
  <c r="Y10" i="4"/>
  <c r="W10" i="4"/>
  <c r="X10" i="4" s="1"/>
  <c r="U10" i="4"/>
  <c r="S10" i="4"/>
  <c r="Q10" i="4"/>
  <c r="R10" i="4" s="1"/>
  <c r="O10" i="4"/>
  <c r="M10" i="4"/>
  <c r="K10" i="4"/>
  <c r="L10" i="4" s="1"/>
  <c r="I10" i="4"/>
  <c r="D10" i="4"/>
  <c r="C10" i="4"/>
  <c r="B10" i="4"/>
  <c r="AA9" i="4"/>
  <c r="Y9" i="4"/>
  <c r="W9" i="4"/>
  <c r="X9" i="4" s="1"/>
  <c r="U9" i="4"/>
  <c r="S9" i="4"/>
  <c r="Q9" i="4"/>
  <c r="R9" i="4" s="1"/>
  <c r="O9" i="4"/>
  <c r="M9" i="4"/>
  <c r="K9" i="4"/>
  <c r="L9" i="4" s="1"/>
  <c r="I9" i="4"/>
  <c r="D9" i="4"/>
  <c r="C9" i="4"/>
  <c r="B9" i="4"/>
  <c r="AA8" i="4"/>
  <c r="Y8" i="4"/>
  <c r="W8" i="4"/>
  <c r="X8" i="4" s="1"/>
  <c r="U8" i="4"/>
  <c r="S8" i="4"/>
  <c r="Q8" i="4"/>
  <c r="R8" i="4" s="1"/>
  <c r="O8" i="4"/>
  <c r="M8" i="4"/>
  <c r="K8" i="4"/>
  <c r="L8" i="4" s="1"/>
  <c r="I8" i="4"/>
  <c r="D8" i="4"/>
  <c r="C8" i="4"/>
  <c r="B8" i="4"/>
  <c r="AA7" i="4"/>
  <c r="Y7" i="4"/>
  <c r="W7" i="4"/>
  <c r="X7" i="4" s="1"/>
  <c r="U7" i="4"/>
  <c r="S7" i="4"/>
  <c r="Q7" i="4"/>
  <c r="R7" i="4" s="1"/>
  <c r="O7" i="4"/>
  <c r="M7" i="4"/>
  <c r="K7" i="4"/>
  <c r="L7" i="4" s="1"/>
  <c r="I7" i="4"/>
  <c r="D7" i="4"/>
  <c r="C7" i="4"/>
  <c r="B7" i="4"/>
  <c r="AA6" i="4"/>
  <c r="Y6" i="4"/>
  <c r="W6" i="4"/>
  <c r="X6" i="4" s="1"/>
  <c r="U6" i="4"/>
  <c r="S6" i="4"/>
  <c r="Q6" i="4"/>
  <c r="R6" i="4" s="1"/>
  <c r="O6" i="4"/>
  <c r="M6" i="4"/>
  <c r="K6" i="4"/>
  <c r="L6" i="4" s="1"/>
  <c r="I6" i="4"/>
  <c r="D6" i="4"/>
  <c r="C6" i="4"/>
  <c r="B6" i="4"/>
  <c r="C19" i="3"/>
  <c r="C20" i="3" s="1"/>
  <c r="B18" i="3"/>
  <c r="C13" i="3"/>
  <c r="B13" i="3"/>
  <c r="Y10" i="3"/>
  <c r="W10" i="3"/>
  <c r="X10" i="3" s="1"/>
  <c r="S10" i="3"/>
  <c r="R10" i="3"/>
  <c r="Q10" i="3"/>
  <c r="M10" i="3"/>
  <c r="K10" i="3"/>
  <c r="L10" i="3" s="1"/>
  <c r="D10" i="3"/>
  <c r="C10" i="3"/>
  <c r="B10" i="3"/>
  <c r="Y9" i="3"/>
  <c r="W9" i="3"/>
  <c r="X9" i="3" s="1"/>
  <c r="S9" i="3"/>
  <c r="Q9" i="3"/>
  <c r="R9" i="3" s="1"/>
  <c r="M9" i="3"/>
  <c r="K9" i="3"/>
  <c r="L9" i="3" s="1"/>
  <c r="D9" i="3"/>
  <c r="C9" i="3"/>
  <c r="B9" i="3"/>
  <c r="Y8" i="3"/>
  <c r="W8" i="3"/>
  <c r="X8" i="3" s="1"/>
  <c r="S8" i="3"/>
  <c r="Q8" i="3"/>
  <c r="R8" i="3" s="1"/>
  <c r="M8" i="3"/>
  <c r="L8" i="3"/>
  <c r="K8" i="3"/>
  <c r="D8" i="3"/>
  <c r="C8" i="3"/>
  <c r="B8" i="3"/>
  <c r="Y7" i="3"/>
  <c r="W7" i="3"/>
  <c r="X7" i="3" s="1"/>
  <c r="S7" i="3"/>
  <c r="R7" i="3"/>
  <c r="Q7" i="3"/>
  <c r="M7" i="3"/>
  <c r="K7" i="3"/>
  <c r="L7" i="3" s="1"/>
  <c r="D7" i="3"/>
  <c r="C7" i="3"/>
  <c r="B7" i="3"/>
  <c r="Y6" i="3"/>
  <c r="W6" i="3"/>
  <c r="X6" i="3" s="1"/>
  <c r="S6" i="3"/>
  <c r="Q6" i="3"/>
  <c r="R6" i="3" s="1"/>
  <c r="M6" i="3"/>
  <c r="K6" i="3"/>
  <c r="L6" i="3" s="1"/>
  <c r="D6" i="3"/>
  <c r="C6" i="3"/>
  <c r="B6" i="3"/>
  <c r="W8" i="2"/>
  <c r="B9" i="2" s="1"/>
  <c r="T8" i="2"/>
  <c r="Q8" i="2"/>
  <c r="N8" i="2"/>
  <c r="K8" i="2"/>
  <c r="H8" i="2"/>
  <c r="E8" i="2"/>
  <c r="B8" i="2"/>
  <c r="W7" i="2"/>
  <c r="T7" i="2"/>
  <c r="Q7" i="2"/>
  <c r="N7" i="2"/>
  <c r="K7" i="2"/>
  <c r="H7" i="2"/>
  <c r="E7" i="2"/>
  <c r="B7" i="2"/>
  <c r="O3" i="2"/>
  <c r="Q10" i="17" l="1"/>
  <c r="R10" i="17" s="1"/>
  <c r="Q9" i="12"/>
  <c r="R9" i="12" s="1"/>
  <c r="U9" i="16"/>
  <c r="U8" i="16"/>
  <c r="Q11" i="17"/>
  <c r="R11" i="17" s="1"/>
  <c r="K7" i="8"/>
  <c r="L7" i="8" s="1"/>
  <c r="K6" i="26"/>
  <c r="L6" i="26" s="1"/>
  <c r="O6" i="27"/>
  <c r="O9" i="19"/>
  <c r="Q6" i="28"/>
  <c r="R6" i="28" s="1"/>
  <c r="W7" i="28"/>
  <c r="X7" i="28" s="1"/>
  <c r="W8" i="28"/>
  <c r="X8" i="28" s="1"/>
  <c r="K6" i="15"/>
  <c r="L6" i="15" s="1"/>
  <c r="K13" i="17"/>
  <c r="L13" i="17" s="1"/>
  <c r="U6" i="20"/>
  <c r="Q8" i="26"/>
  <c r="R8" i="26" s="1"/>
  <c r="I6" i="28"/>
  <c r="O8" i="28"/>
  <c r="I8" i="12"/>
  <c r="W9" i="14"/>
  <c r="X9" i="14" s="1"/>
  <c r="O6" i="16"/>
  <c r="O6" i="6"/>
  <c r="W8" i="15"/>
  <c r="X8" i="15" s="1"/>
  <c r="Q10" i="14"/>
  <c r="R10" i="14" s="1"/>
  <c r="O12" i="17"/>
  <c r="Q13" i="17"/>
  <c r="R13" i="17" s="1"/>
  <c r="W7" i="27"/>
  <c r="X7" i="27" s="1"/>
  <c r="I11" i="16"/>
  <c r="O6" i="26"/>
  <c r="Q8" i="10"/>
  <c r="R8" i="10" s="1"/>
  <c r="I10" i="14"/>
  <c r="K10" i="15"/>
  <c r="L10" i="15" s="1"/>
  <c r="U9" i="15"/>
  <c r="C20" i="5"/>
  <c r="C21" i="5"/>
  <c r="U7" i="8"/>
  <c r="O9" i="15"/>
  <c r="W6" i="16"/>
  <c r="X6" i="16" s="1"/>
  <c r="I6" i="17"/>
  <c r="W8" i="19"/>
  <c r="X8" i="19" s="1"/>
  <c r="I6" i="22"/>
  <c r="I6" i="27"/>
  <c r="O7" i="27"/>
  <c r="O6" i="11"/>
  <c r="U7" i="14"/>
  <c r="I7" i="24"/>
  <c r="I7" i="26"/>
  <c r="I9" i="14"/>
  <c r="I6" i="16"/>
  <c r="I6" i="18"/>
  <c r="O6" i="20"/>
  <c r="I8" i="26"/>
  <c r="W9" i="17"/>
  <c r="X9" i="17" s="1"/>
  <c r="I7" i="19"/>
  <c r="AC7" i="19"/>
  <c r="I10" i="16"/>
  <c r="O7" i="16"/>
  <c r="Q7" i="26"/>
  <c r="R7" i="26" s="1"/>
  <c r="O6" i="9"/>
  <c r="Q6" i="5"/>
  <c r="R6" i="5" s="1"/>
  <c r="O7" i="8"/>
  <c r="I9" i="13"/>
  <c r="I11" i="13"/>
  <c r="O8" i="17"/>
  <c r="U6" i="18"/>
  <c r="O7" i="11"/>
  <c r="U8" i="11"/>
  <c r="W6" i="19"/>
  <c r="X6" i="19" s="1"/>
  <c r="I7" i="27"/>
  <c r="U6" i="28"/>
  <c r="O7" i="15"/>
  <c r="I9" i="16"/>
  <c r="K9" i="17"/>
  <c r="L9" i="17" s="1"/>
  <c r="I10" i="17"/>
  <c r="U10" i="17"/>
  <c r="I11" i="17"/>
  <c r="Q6" i="18"/>
  <c r="R6" i="18" s="1"/>
  <c r="I9" i="18"/>
  <c r="K6" i="19"/>
  <c r="L6" i="19" s="1"/>
  <c r="K9" i="19"/>
  <c r="L9" i="19" s="1"/>
  <c r="O8" i="13"/>
  <c r="Q8" i="16"/>
  <c r="R8" i="16" s="1"/>
  <c r="Q10" i="16"/>
  <c r="R10" i="16" s="1"/>
  <c r="I6" i="20"/>
  <c r="U6" i="21"/>
  <c r="W7" i="21"/>
  <c r="X7" i="21" s="1"/>
  <c r="U8" i="21"/>
  <c r="Q6" i="25"/>
  <c r="R6" i="25" s="1"/>
  <c r="U6" i="26"/>
  <c r="U7" i="26"/>
  <c r="U6" i="27"/>
  <c r="I7" i="28"/>
  <c r="Q7" i="28"/>
  <c r="R7" i="28" s="1"/>
  <c r="O9" i="28"/>
  <c r="W9" i="28"/>
  <c r="X9" i="28" s="1"/>
  <c r="U6" i="7"/>
  <c r="I9" i="9"/>
  <c r="U7" i="16"/>
  <c r="O11" i="16"/>
  <c r="Q6" i="17"/>
  <c r="R6" i="17" s="1"/>
  <c r="Q7" i="17"/>
  <c r="R7" i="17" s="1"/>
  <c r="O7" i="18"/>
  <c r="U8" i="26"/>
  <c r="I8" i="28"/>
  <c r="I9" i="28"/>
  <c r="O6" i="8"/>
  <c r="I6" i="11"/>
  <c r="U6" i="11"/>
  <c r="W9" i="13"/>
  <c r="X9" i="13" s="1"/>
  <c r="O11" i="13"/>
  <c r="W6" i="14"/>
  <c r="X6" i="14" s="1"/>
  <c r="Q8" i="14"/>
  <c r="R8" i="14" s="1"/>
  <c r="I7" i="15"/>
  <c r="Q9" i="16"/>
  <c r="R9" i="16" s="1"/>
  <c r="U10" i="16"/>
  <c r="U7" i="17"/>
  <c r="U8" i="17"/>
  <c r="U8" i="18"/>
  <c r="O9" i="18"/>
  <c r="K8" i="21"/>
  <c r="L8" i="21" s="1"/>
  <c r="E13" i="25"/>
  <c r="D13" i="25" s="1"/>
  <c r="Q8" i="9"/>
  <c r="R8" i="9" s="1"/>
  <c r="K7" i="10"/>
  <c r="L7" i="10" s="1"/>
  <c r="E13" i="24"/>
  <c r="D13" i="24" s="1"/>
  <c r="U8" i="9"/>
  <c r="K6" i="10"/>
  <c r="L6" i="10" s="1"/>
  <c r="W6" i="13"/>
  <c r="X6" i="13" s="1"/>
  <c r="K8" i="13"/>
  <c r="L8" i="13" s="1"/>
  <c r="O7" i="14"/>
  <c r="I8" i="14"/>
  <c r="Q8" i="15"/>
  <c r="R8" i="15" s="1"/>
  <c r="U11" i="17"/>
  <c r="I7" i="18"/>
  <c r="W7" i="18"/>
  <c r="X7" i="18" s="1"/>
  <c r="I6" i="6"/>
  <c r="K7" i="6"/>
  <c r="L7" i="6" s="1"/>
  <c r="I8" i="9"/>
  <c r="Q6" i="10"/>
  <c r="R6" i="10" s="1"/>
  <c r="W8" i="10"/>
  <c r="X8" i="10" s="1"/>
  <c r="O6" i="12"/>
  <c r="I9" i="12"/>
  <c r="Q9" i="13"/>
  <c r="R9" i="13" s="1"/>
  <c r="W10" i="13"/>
  <c r="X10" i="13" s="1"/>
  <c r="W11" i="13"/>
  <c r="X11" i="13" s="1"/>
  <c r="I6" i="14"/>
  <c r="Q6" i="14"/>
  <c r="R6" i="14" s="1"/>
  <c r="K7" i="14"/>
  <c r="L7" i="14" s="1"/>
  <c r="U10" i="14"/>
  <c r="I8" i="15"/>
  <c r="I7" i="16"/>
  <c r="I8" i="16"/>
  <c r="O9" i="17"/>
  <c r="K12" i="17"/>
  <c r="L12" i="17" s="1"/>
  <c r="U12" i="17"/>
  <c r="U13" i="17"/>
  <c r="O8" i="18"/>
  <c r="Q7" i="19"/>
  <c r="R7" i="19" s="1"/>
  <c r="K8" i="19"/>
  <c r="L8" i="19" s="1"/>
  <c r="AA8" i="19"/>
  <c r="U9" i="19"/>
  <c r="K6" i="21"/>
  <c r="L6" i="21" s="1"/>
  <c r="O7" i="21"/>
  <c r="O8" i="21"/>
  <c r="Q6" i="22"/>
  <c r="R6" i="22" s="1"/>
  <c r="O6" i="23"/>
  <c r="I6" i="24"/>
  <c r="Q6" i="24"/>
  <c r="R6" i="24" s="1"/>
  <c r="O7" i="24"/>
  <c r="W7" i="24"/>
  <c r="X7" i="24" s="1"/>
  <c r="U6" i="25"/>
  <c r="K6" i="8"/>
  <c r="L6" i="8" s="1"/>
  <c r="Q7" i="13"/>
  <c r="R7" i="13" s="1"/>
  <c r="W8" i="13"/>
  <c r="X8" i="13" s="1"/>
  <c r="U8" i="14"/>
  <c r="I7" i="17"/>
  <c r="I8" i="17"/>
  <c r="I6" i="23"/>
  <c r="W6" i="6"/>
  <c r="X6" i="6" s="1"/>
  <c r="O10" i="13"/>
  <c r="U6" i="17"/>
  <c r="U7" i="19"/>
  <c r="O6" i="21"/>
  <c r="U6" i="22"/>
  <c r="I7" i="9"/>
  <c r="U7" i="9"/>
  <c r="Q9" i="9"/>
  <c r="R9" i="9" s="1"/>
  <c r="U6" i="12"/>
  <c r="U7" i="12"/>
  <c r="K6" i="13"/>
  <c r="L6" i="13" s="1"/>
  <c r="I7" i="13"/>
  <c r="U7" i="13"/>
  <c r="O9" i="14"/>
  <c r="U9" i="18"/>
  <c r="O6" i="19"/>
  <c r="O8" i="19"/>
  <c r="U6" i="24"/>
  <c r="I6" i="25"/>
  <c r="I6" i="5"/>
  <c r="I8" i="10"/>
  <c r="O6" i="13"/>
  <c r="B8" i="24"/>
  <c r="B9" i="24"/>
  <c r="W9" i="12"/>
  <c r="X9" i="12" s="1"/>
  <c r="U9" i="12"/>
  <c r="U10" i="15"/>
  <c r="K6" i="7"/>
  <c r="L6" i="7" s="1"/>
  <c r="I6" i="7"/>
  <c r="W6" i="23"/>
  <c r="X6" i="23" s="1"/>
  <c r="U6" i="23"/>
  <c r="U6" i="10"/>
  <c r="Q8" i="12"/>
  <c r="R8" i="12" s="1"/>
  <c r="O8" i="12"/>
  <c r="U6" i="15"/>
  <c r="I8" i="18"/>
  <c r="I7" i="21"/>
  <c r="C10" i="20"/>
  <c r="C9" i="20"/>
  <c r="C7" i="20"/>
  <c r="B10" i="20"/>
  <c r="B9" i="20"/>
  <c r="B8" i="20"/>
  <c r="B7" i="20"/>
  <c r="D6" i="20"/>
  <c r="Q7" i="10"/>
  <c r="R7" i="10" s="1"/>
  <c r="O7" i="10"/>
  <c r="O7" i="9"/>
  <c r="U9" i="9"/>
  <c r="O8" i="11"/>
  <c r="K7" i="12"/>
  <c r="L7" i="12" s="1"/>
  <c r="I7" i="12"/>
  <c r="B6" i="20"/>
  <c r="D7" i="20"/>
  <c r="K10" i="13"/>
  <c r="L10" i="13" s="1"/>
  <c r="W7" i="6"/>
  <c r="X7" i="6" s="1"/>
  <c r="W6" i="9"/>
  <c r="X6" i="9" s="1"/>
  <c r="U6" i="9"/>
  <c r="U11" i="16"/>
  <c r="C6" i="20"/>
  <c r="K7" i="11"/>
  <c r="L7" i="11" s="1"/>
  <c r="Q7" i="6"/>
  <c r="R7" i="6" s="1"/>
  <c r="O7" i="6"/>
  <c r="W6" i="8"/>
  <c r="X6" i="8" s="1"/>
  <c r="U6" i="8"/>
  <c r="K6" i="9"/>
  <c r="L6" i="9" s="1"/>
  <c r="W7" i="11"/>
  <c r="X7" i="11" s="1"/>
  <c r="U7" i="11"/>
  <c r="O6" i="7"/>
  <c r="U7" i="10"/>
  <c r="I8" i="11"/>
  <c r="I6" i="12"/>
  <c r="O7" i="12"/>
  <c r="U8" i="12"/>
  <c r="O6" i="15"/>
  <c r="D7" i="15"/>
  <c r="U7" i="15"/>
  <c r="B8" i="15"/>
  <c r="I9" i="15"/>
  <c r="O10" i="15"/>
  <c r="B9" i="15"/>
  <c r="W6" i="5"/>
  <c r="X6" i="5" s="1"/>
  <c r="U7" i="5"/>
  <c r="K8" i="5"/>
  <c r="L8" i="5" s="1"/>
  <c r="O7" i="5"/>
  <c r="U8" i="5"/>
  <c r="I7" i="5"/>
  <c r="O8" i="5"/>
  <c r="B18" i="1"/>
  <c r="A18" i="1"/>
  <c r="B8" i="1"/>
  <c r="M19" i="1"/>
  <c r="L19" i="1"/>
  <c r="K19" i="1"/>
  <c r="I19" i="1"/>
  <c r="F19" i="1"/>
  <c r="E19" i="1"/>
  <c r="D19" i="1"/>
  <c r="I28" i="1"/>
  <c r="G36" i="1" l="1"/>
  <c r="G39" i="1" s="1"/>
  <c r="I25" i="1"/>
  <c r="G25" i="1"/>
  <c r="I31" i="1" s="1"/>
  <c r="H32" i="1" s="1"/>
  <c r="D18" i="1" s="1"/>
  <c r="H21" i="1"/>
  <c r="I21" i="1" s="1"/>
  <c r="N11" i="1"/>
  <c r="M11" i="1"/>
  <c r="L11" i="1"/>
  <c r="K11" i="1"/>
  <c r="F11" i="1"/>
  <c r="E11" i="1"/>
  <c r="D11" i="1"/>
  <c r="A8" i="1"/>
  <c r="M6" i="1"/>
  <c r="L6" i="1"/>
  <c r="J6" i="1"/>
  <c r="I6" i="1"/>
  <c r="H6" i="1"/>
  <c r="G6" i="1"/>
  <c r="F6" i="1"/>
  <c r="I30" i="1" l="1"/>
  <c r="G31" i="1" s="1"/>
  <c r="G28" i="1"/>
  <c r="H4" i="1" s="1"/>
  <c r="H8" i="1" s="1"/>
  <c r="J11" i="1" l="1"/>
  <c r="I11" i="1"/>
  <c r="G11" i="1"/>
  <c r="H11" i="1"/>
  <c r="D10" i="1"/>
  <c r="J19" i="1"/>
  <c r="H19" i="1"/>
  <c r="G19" i="1"/>
  <c r="L12" i="1"/>
  <c r="L16" i="1" s="1"/>
  <c r="G12" i="1"/>
  <c r="G16" i="1" s="1"/>
  <c r="M12" i="1"/>
  <c r="M16" i="1" s="1"/>
  <c r="K12" i="1"/>
  <c r="K16" i="1" s="1"/>
  <c r="H12" i="1"/>
  <c r="H16" i="1" s="1"/>
  <c r="F12" i="1"/>
  <c r="F16" i="1" s="1"/>
  <c r="J12" i="1"/>
  <c r="J16" i="1" s="1"/>
  <c r="D12" i="1"/>
  <c r="I12" i="1"/>
  <c r="I16" i="1" s="1"/>
  <c r="E12" i="1"/>
  <c r="E16" i="1" s="1"/>
  <c r="I4" i="1"/>
  <c r="I8" i="1" s="1"/>
  <c r="G21" i="1"/>
  <c r="G4" i="1"/>
  <c r="G8" i="1" s="1"/>
  <c r="J4" i="1"/>
  <c r="J8" i="1" s="1"/>
  <c r="K4" i="1"/>
  <c r="K8" i="1" s="1"/>
  <c r="L4" i="1"/>
  <c r="L8" i="1" s="1"/>
  <c r="D4" i="1"/>
  <c r="D8" i="1" s="1"/>
  <c r="F4" i="1"/>
  <c r="F8" i="1" s="1"/>
  <c r="N4" i="1"/>
  <c r="N8" i="1" s="1"/>
  <c r="E4" i="1"/>
  <c r="E8" i="1" s="1"/>
  <c r="M4" i="1"/>
  <c r="M8" i="1" s="1"/>
  <c r="D16" i="1" l="1"/>
</calcChain>
</file>

<file path=xl/sharedStrings.xml><?xml version="1.0" encoding="utf-8"?>
<sst xmlns="http://schemas.openxmlformats.org/spreadsheetml/2006/main" count="1368" uniqueCount="239">
  <si>
    <t>Arbeitsbreite (m)</t>
  </si>
  <si>
    <t>Fahr-/ Gehgeschwindigkeit (km/h)</t>
  </si>
  <si>
    <t>Düsengröße und Farbcodierung nach ISO 16125 (bei 3 bar Spritzdruck an der Düse)</t>
  </si>
  <si>
    <t>Ausbringmenge (l/ha)</t>
  </si>
  <si>
    <t>ISO</t>
  </si>
  <si>
    <t>005</t>
  </si>
  <si>
    <t>0075</t>
  </si>
  <si>
    <t>035</t>
  </si>
  <si>
    <t>06</t>
  </si>
  <si>
    <t>Anzahl Düsen (Stck.)</t>
  </si>
  <si>
    <t>l/min</t>
  </si>
  <si>
    <t>Druck</t>
  </si>
  <si>
    <t>Anzahl Düsen</t>
  </si>
  <si>
    <t>Ausbringmenge (l/ha) =</t>
  </si>
  <si>
    <t>Ausstoß aller Düsen (l/min) x 600</t>
  </si>
  <si>
    <t>Fahrgeschw. (km/h) x Arbeitsbreite (m)</t>
  </si>
  <si>
    <t>Gesamtdüsenausstoß (l/min) =</t>
  </si>
  <si>
    <t>Ausbringmenge (l/ha) x Fahrgeschw. (km/h) * Arb.breite (m)</t>
  </si>
  <si>
    <t>Einzeldüsenausstoß (l/min) =</t>
  </si>
  <si>
    <t>Gesamtdüsenausstoß (l/min)</t>
  </si>
  <si>
    <t>Gesamtdüsenanzahl (Stck.)</t>
  </si>
  <si>
    <t>neuer Spritzdruck bei Mischbestückung</t>
  </si>
  <si>
    <t>Fahrstrecke (m)</t>
  </si>
  <si>
    <t>Fahrzeit (s)</t>
  </si>
  <si>
    <t xml:space="preserve">Fahrgeschwindigkeit (km/h) = </t>
  </si>
  <si>
    <t>Fahrstrecke (m) x 3,6</t>
  </si>
  <si>
    <t xml:space="preserve">Fahrgeschwindigkeit (m/min) = </t>
  </si>
  <si>
    <t>16,67 x Fahrgeschw. (km/h)</t>
  </si>
  <si>
    <t>ATR</t>
  </si>
  <si>
    <t>weiß</t>
  </si>
  <si>
    <t>lila</t>
  </si>
  <si>
    <t>braun</t>
  </si>
  <si>
    <t>gelb</t>
  </si>
  <si>
    <t>orange</t>
  </si>
  <si>
    <t>rot</t>
  </si>
  <si>
    <t>grau</t>
  </si>
  <si>
    <t>grün</t>
  </si>
  <si>
    <t>schwarz</t>
  </si>
  <si>
    <t>blau</t>
  </si>
  <si>
    <t>Gemischt ISO</t>
  </si>
  <si>
    <t>Gemischt ATR</t>
  </si>
  <si>
    <t>Düsengröße und Farbcodierung nach Albuz (ATR) Werksnorm (bei 3 bar Spritzdruck an der Düse)</t>
  </si>
  <si>
    <t>gewünschte Wasseraufwandmenge in l/ha</t>
  </si>
  <si>
    <t>Daten in die gelben Felder eintragen</t>
  </si>
  <si>
    <t>Fahrgeschwindigkeit in km/h</t>
  </si>
  <si>
    <t>Düsenabstand im Gestänge (cm)</t>
  </si>
  <si>
    <t>Düsengröße/-farbe</t>
  </si>
  <si>
    <t>Spritzdruck*</t>
  </si>
  <si>
    <t>Volumenstrom/Düse</t>
  </si>
  <si>
    <t>Flachstrahl</t>
  </si>
  <si>
    <t>optimaler Druck zw. 2 und 3 bar</t>
  </si>
  <si>
    <t>optimaler Druck zw. 3 und 5 bar</t>
  </si>
  <si>
    <t>01er Größe</t>
  </si>
  <si>
    <t>Druckbereich einsetzbar</t>
  </si>
  <si>
    <t>l/ha</t>
  </si>
  <si>
    <t>Hersteller</t>
  </si>
  <si>
    <t>Typ</t>
  </si>
  <si>
    <t>bar</t>
  </si>
  <si>
    <t>km/h</t>
  </si>
  <si>
    <t/>
  </si>
  <si>
    <t>Ausbringmenge</t>
  </si>
  <si>
    <t>Spritzdruck</t>
  </si>
  <si>
    <t>Fahrgeschwindigkeit</t>
  </si>
  <si>
    <t>Bandbreite (cm)</t>
  </si>
  <si>
    <t>Reihenabstand (cm)</t>
  </si>
  <si>
    <t>Anteil des Schlages</t>
  </si>
  <si>
    <t>Schlaggröße</t>
  </si>
  <si>
    <t>PSM kg/ha bzw. l/ha</t>
  </si>
  <si>
    <t>015er Größe</t>
  </si>
  <si>
    <t>02er Größe</t>
  </si>
  <si>
    <t>03er Größe</t>
  </si>
  <si>
    <t>04er Größe</t>
  </si>
  <si>
    <t>Düsenabstand</t>
  </si>
  <si>
    <t>05er Größe</t>
  </si>
  <si>
    <t>bis</t>
  </si>
  <si>
    <t>06er Größe</t>
  </si>
  <si>
    <t>KURZE Injektor - Flachstrahldüse</t>
  </si>
  <si>
    <t>025er Größe</t>
  </si>
  <si>
    <t>LANGE Injektor - Flachstrahldüse</t>
  </si>
  <si>
    <t>LANGE Injektor - Doppelflachstrahldüse</t>
  </si>
  <si>
    <t>Wasser für Spritze</t>
  </si>
  <si>
    <t>Arbeitsbreite (Reihenabstand) (m)</t>
  </si>
  <si>
    <t>Gemischt</t>
  </si>
  <si>
    <t>G Nummer</t>
  </si>
  <si>
    <t>Anmelder</t>
  </si>
  <si>
    <t>Bezeichnung</t>
  </si>
  <si>
    <t>Abstand im Gestänge</t>
  </si>
  <si>
    <t>Abstand Zielebene</t>
  </si>
  <si>
    <t>von</t>
  </si>
  <si>
    <t>Anerkannt bis</t>
  </si>
  <si>
    <t xml:space="preserve">Düsen im Gestänge </t>
  </si>
  <si>
    <t>baugleich</t>
  </si>
  <si>
    <t>TeeJet</t>
  </si>
  <si>
    <t>AI/AIC 110 05</t>
  </si>
  <si>
    <t>50 - 75</t>
  </si>
  <si>
    <t>lang</t>
  </si>
  <si>
    <t>Fläche</t>
  </si>
  <si>
    <t>Flach</t>
  </si>
  <si>
    <t>Agrotop</t>
  </si>
  <si>
    <t>Airmix 110 05</t>
  </si>
  <si>
    <t>kurz</t>
  </si>
  <si>
    <t>Airmix OC 80 02</t>
  </si>
  <si>
    <t>Randdüse</t>
  </si>
  <si>
    <t>TurboDrop HiSpeed 025</t>
  </si>
  <si>
    <t>Airmix OC 80 025</t>
  </si>
  <si>
    <t>CVI Twin 110 03</t>
  </si>
  <si>
    <t>Airmix OC 80 03</t>
  </si>
  <si>
    <t>TurboDrop HiSpeed 04</t>
  </si>
  <si>
    <t>CVI Twin 110 04</t>
  </si>
  <si>
    <t>SoftDrop 110 04</t>
  </si>
  <si>
    <t>Airmix OC 80 04</t>
  </si>
  <si>
    <t>SoftDrop 110 05</t>
  </si>
  <si>
    <t>AITTJ60 110 04</t>
  </si>
  <si>
    <t>Doppelflach</t>
  </si>
  <si>
    <t>AITTJ60 110 06 VP</t>
  </si>
  <si>
    <t>AITTJ60 110 05 VP</t>
  </si>
  <si>
    <t>AIUB 85 04</t>
  </si>
  <si>
    <t>AI 110 05</t>
  </si>
  <si>
    <t>AIC 110 05</t>
  </si>
  <si>
    <t>AIXR 110 05</t>
  </si>
  <si>
    <t>APTJ-11004VP</t>
  </si>
  <si>
    <t>Standard</t>
  </si>
  <si>
    <t>APTJ-11005VP</t>
  </si>
  <si>
    <t>APTJ-11006VP</t>
  </si>
  <si>
    <t>AVI-UC 110 03</t>
  </si>
  <si>
    <t>AVI-UC 110 04</t>
  </si>
  <si>
    <t>AVI-UC 110 05</t>
  </si>
  <si>
    <t>CVI 80-02</t>
  </si>
  <si>
    <t>Lechler</t>
  </si>
  <si>
    <t>ES 80 02E MS</t>
  </si>
  <si>
    <t>Band</t>
  </si>
  <si>
    <t>ES 90 02E POM</t>
  </si>
  <si>
    <t>ES 90 03E MS</t>
  </si>
  <si>
    <t>ES 90 04E POM</t>
  </si>
  <si>
    <t>FT 90 03</t>
  </si>
  <si>
    <t xml:space="preserve"> 10 - 40</t>
  </si>
  <si>
    <t>ID (3) 120 025</t>
  </si>
  <si>
    <t>ID (3) 120 03</t>
  </si>
  <si>
    <t>ID (3) 120 04</t>
  </si>
  <si>
    <t>ID (3) 120 05</t>
  </si>
  <si>
    <t>ID (3) 120 06</t>
  </si>
  <si>
    <t>IDK 120 04 C</t>
  </si>
  <si>
    <t>IDK 120 05</t>
  </si>
  <si>
    <t>IDK 120 06</t>
  </si>
  <si>
    <t>IDK 90 015 C</t>
  </si>
  <si>
    <t>IDK 90 02 C</t>
  </si>
  <si>
    <t>IDK 90 025</t>
  </si>
  <si>
    <t>IDK 90 04 C</t>
  </si>
  <si>
    <t>IDKN 120 03</t>
  </si>
  <si>
    <t>IDKN 120 04</t>
  </si>
  <si>
    <t>IDKS 80 03</t>
  </si>
  <si>
    <t>IDKT 120 03</t>
  </si>
  <si>
    <t>IDKS 80 04</t>
  </si>
  <si>
    <t>IDKT 120 04</t>
  </si>
  <si>
    <t>IDKS 80 05</t>
  </si>
  <si>
    <t>IDKT 120 05</t>
  </si>
  <si>
    <t>IDKS 80 06</t>
  </si>
  <si>
    <t>IDKT 120 06</t>
  </si>
  <si>
    <t>IDKT 120 02</t>
  </si>
  <si>
    <t>IDKT 120 025</t>
  </si>
  <si>
    <t>IDKT 120 04 C</t>
  </si>
  <si>
    <t>IDKT 120 05 C</t>
  </si>
  <si>
    <t>IDTA 120 025 C</t>
  </si>
  <si>
    <t>Misch6</t>
  </si>
  <si>
    <t>IDTA 120 03 C</t>
  </si>
  <si>
    <t>IDTA 120 04 C</t>
  </si>
  <si>
    <t>IDTA 120 05 C</t>
  </si>
  <si>
    <t>IS 80 025</t>
  </si>
  <si>
    <t>IS 80 03</t>
  </si>
  <si>
    <t>IS 80 04</t>
  </si>
  <si>
    <t>IS 80 05</t>
  </si>
  <si>
    <t>IS 80 06</t>
  </si>
  <si>
    <t>JohnDeere</t>
  </si>
  <si>
    <t>LDAC 90-015</t>
  </si>
  <si>
    <t>LDAC 90-02</t>
  </si>
  <si>
    <t>Lechler PRE</t>
  </si>
  <si>
    <t>Vorauflauf</t>
  </si>
  <si>
    <t>Hardi</t>
  </si>
  <si>
    <t>Minidrift Duo 110 02</t>
  </si>
  <si>
    <t>Minidrift Duo 110 025</t>
  </si>
  <si>
    <t>MiniDrift Duo 110 03</t>
  </si>
  <si>
    <t>MiniDrift Duo 110 04</t>
  </si>
  <si>
    <t>MiniDrift Duo 110 05</t>
  </si>
  <si>
    <t>MiniDrift MD 04</t>
  </si>
  <si>
    <t>MiniDrift MD 05</t>
  </si>
  <si>
    <t>NanoDrift ND 03</t>
  </si>
  <si>
    <t>NanoDrift ND 05</t>
  </si>
  <si>
    <t>PSAULDCQ20025</t>
  </si>
  <si>
    <t>baugleich IDTA C</t>
  </si>
  <si>
    <t>PSAULDCQ2003</t>
  </si>
  <si>
    <t>PSAULDCQ2004</t>
  </si>
  <si>
    <t>PSAULDCQ2005</t>
  </si>
  <si>
    <t>PSGATCQ2004</t>
  </si>
  <si>
    <t>baugleich IDKT C</t>
  </si>
  <si>
    <t>PSGATCQ2005</t>
  </si>
  <si>
    <t>PSLDACQ2004</t>
  </si>
  <si>
    <t>baugleich IDK C</t>
  </si>
  <si>
    <t>PSULDCQ20025</t>
  </si>
  <si>
    <t>baugleich ID(3) C</t>
  </si>
  <si>
    <t>PSULDCQ2003</t>
  </si>
  <si>
    <t>PSULDCQ2004</t>
  </si>
  <si>
    <t>PSULDCQ2005</t>
  </si>
  <si>
    <t>Hypro</t>
  </si>
  <si>
    <t>PSULDQ2004A</t>
  </si>
  <si>
    <t>baugleich ULD 120</t>
  </si>
  <si>
    <t>PSULDQ2005A</t>
  </si>
  <si>
    <t>RowFan 40-02E</t>
  </si>
  <si>
    <t>40 cm</t>
  </si>
  <si>
    <t>Syngenta 130 05</t>
  </si>
  <si>
    <t>TTI 110 025</t>
  </si>
  <si>
    <t>TTI 110 03</t>
  </si>
  <si>
    <t>TTI 110 04</t>
  </si>
  <si>
    <t>TTI 110 05</t>
  </si>
  <si>
    <t>TTI 110 06</t>
  </si>
  <si>
    <t>TTI60-110 02 VP-C</t>
  </si>
  <si>
    <t>TTI60-110 025 VP-C</t>
  </si>
  <si>
    <t>TTI60-110 03 VP-C</t>
  </si>
  <si>
    <t>TTI60-110 04 VP-C</t>
  </si>
  <si>
    <t>TTI60-110 05 VP-C</t>
  </si>
  <si>
    <t>ULD 04</t>
  </si>
  <si>
    <t>ULD 05</t>
  </si>
  <si>
    <t>Wilger</t>
  </si>
  <si>
    <t>UR 110 05</t>
  </si>
  <si>
    <t>UR 110 06</t>
  </si>
  <si>
    <t>DynaJet</t>
  </si>
  <si>
    <t>PWM</t>
  </si>
  <si>
    <t>ExactApply</t>
  </si>
  <si>
    <t>Raven</t>
  </si>
  <si>
    <t>Hawkeye</t>
  </si>
  <si>
    <t>Streifen 90 %</t>
  </si>
  <si>
    <t>Airmix OC 04</t>
  </si>
  <si>
    <t>AVI OC 80 04</t>
  </si>
  <si>
    <t>Airmix OC 03</t>
  </si>
  <si>
    <t>AI UB 85 03</t>
  </si>
  <si>
    <t>Airmix OC 05</t>
  </si>
  <si>
    <t>TVI 80 03</t>
  </si>
  <si>
    <t>Airmix OC 025</t>
  </si>
  <si>
    <t>AIUB 85 025</t>
  </si>
  <si>
    <t>IDKS 80 025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</si>
</sst>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0.0\ &quot;m&quot;"/>
    <numFmt numFmtId="165" formatCode="0.0\ &quot;km/h&quot;"/>
    <numFmt numFmtId="166" formatCode="0\ &quot;l/ha&quot;"/>
    <numFmt numFmtId="167" formatCode="0.0"/>
    <numFmt numFmtId="168" formatCode="0.00\ &quot;l/min&quot;"/>
    <numFmt numFmtId="169" formatCode="0.0\ &quot;bar&quot;"/>
    <numFmt numFmtId="170" formatCode="0\ &quot;m&quot;"/>
    <numFmt numFmtId="171" formatCode="0\ &quot;s&quot;"/>
    <numFmt numFmtId="172" formatCode="0\ &quot;m/min&quot;"/>
    <numFmt numFmtId="173" formatCode="0.0\ &quot;bar Spritzdruck bei gemischtem Düsensatz (ATR)&quot;"/>
    <numFmt numFmtId="174" formatCode="0.0\ &quot;bar Spritzdruck bei gemischtem Düseneinsatz (ISO)&quot;"/>
    <numFmt numFmtId="175" formatCode="0\ &quot;cm&quot;"/>
    <numFmt numFmtId="176" formatCode="0.00\ &quot;l/min und Düse&quot;"/>
    <numFmt numFmtId="177" formatCode="0.0\ &quot;l/min bei 3 bar&quot;"/>
    <numFmt numFmtId="178" formatCode="0\ &quot;%&quot;"/>
    <numFmt numFmtId="179" formatCode="0.00\ &quot;ha&quot;"/>
    <numFmt numFmtId="180" formatCode="0\ &quot;l Brühe&quot;"/>
    <numFmt numFmtId="181" formatCode="0.0\ &quot;bar Spritzdruck bei gemischtem Düseneinsatz&quot;"/>
  </numFmts>
  <fonts count="3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b/>
      <sz val="14"/>
      <color indexed="9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sz val="26"/>
      <color theme="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u/>
      <sz val="14"/>
      <color indexed="12"/>
      <name val="Arial"/>
      <family val="2"/>
    </font>
    <font>
      <b/>
      <sz val="12"/>
      <color indexed="9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theme="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6689A"/>
        <bgColor indexed="64"/>
      </patternFill>
    </fill>
    <fill>
      <patternFill patternType="solid">
        <fgColor rgb="FFD8A0A6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008351"/>
        <bgColor indexed="64"/>
      </patternFill>
    </fill>
    <fill>
      <patternFill patternType="solid">
        <fgColor rgb="FFFACA30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004F7C"/>
        <bgColor indexed="64"/>
      </patternFill>
    </fill>
    <fill>
      <patternFill patternType="solid">
        <fgColor rgb="FF792423"/>
        <bgColor indexed="64"/>
      </patternFill>
    </fill>
    <fill>
      <patternFill patternType="solid">
        <fgColor rgb="FFA72920"/>
        <bgColor indexed="64"/>
      </patternFill>
    </fill>
    <fill>
      <patternFill patternType="solid">
        <fgColor rgb="FF5A3826"/>
        <bgColor indexed="64"/>
      </patternFill>
    </fill>
    <fill>
      <patternFill patternType="solid">
        <fgColor rgb="FF9B9B9B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5" fillId="0" borderId="0"/>
    <xf numFmtId="0" fontId="16" fillId="0" borderId="0"/>
    <xf numFmtId="0" fontId="4" fillId="0" borderId="0"/>
    <xf numFmtId="0" fontId="8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2" fillId="0" borderId="0"/>
    <xf numFmtId="0" fontId="1" fillId="0" borderId="0"/>
  </cellStyleXfs>
  <cellXfs count="432">
    <xf numFmtId="0" fontId="0" fillId="0" borderId="0" xfId="0"/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protection hidden="1"/>
    </xf>
    <xf numFmtId="0" fontId="9" fillId="2" borderId="0" xfId="2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Protection="1"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1" xfId="0" quotePrefix="1" applyFont="1" applyFill="1" applyBorder="1" applyAlignment="1" applyProtection="1">
      <alignment horizontal="center" vertical="center"/>
      <protection hidden="1"/>
    </xf>
    <xf numFmtId="0" fontId="13" fillId="17" borderId="1" xfId="4" applyFont="1" applyFill="1" applyBorder="1" applyAlignment="1" applyProtection="1">
      <alignment horizontal="center" vertical="center" wrapText="1"/>
      <protection hidden="1"/>
    </xf>
    <xf numFmtId="0" fontId="21" fillId="18" borderId="1" xfId="4" applyFont="1" applyFill="1" applyBorder="1" applyAlignment="1" applyProtection="1">
      <alignment horizontal="center" vertical="center" wrapText="1"/>
      <protection hidden="1"/>
    </xf>
    <xf numFmtId="0" fontId="13" fillId="19" borderId="1" xfId="4" applyFont="1" applyFill="1" applyBorder="1" applyAlignment="1" applyProtection="1">
      <alignment horizontal="center" vertical="center" wrapText="1"/>
      <protection hidden="1"/>
    </xf>
    <xf numFmtId="0" fontId="21" fillId="20" borderId="1" xfId="4" applyFont="1" applyFill="1" applyBorder="1" applyAlignment="1" applyProtection="1">
      <alignment horizontal="center" vertical="center" wrapText="1"/>
      <protection hidden="1"/>
    </xf>
    <xf numFmtId="0" fontId="21" fillId="21" borderId="1" xfId="4" applyFont="1" applyFill="1" applyBorder="1" applyAlignment="1" applyProtection="1">
      <alignment horizontal="center" vertical="center" wrapText="1"/>
      <protection hidden="1"/>
    </xf>
    <xf numFmtId="0" fontId="10" fillId="22" borderId="1" xfId="0" quotePrefix="1" applyFont="1" applyFill="1" applyBorder="1" applyAlignment="1" applyProtection="1">
      <alignment horizontal="center" vertical="center"/>
      <protection hidden="1"/>
    </xf>
    <xf numFmtId="0" fontId="21" fillId="23" borderId="7" xfId="4" applyFont="1" applyFill="1" applyBorder="1" applyAlignment="1" applyProtection="1">
      <alignment horizontal="center" vertical="center" wrapText="1"/>
      <protection hidden="1"/>
    </xf>
    <xf numFmtId="0" fontId="18" fillId="24" borderId="1" xfId="0" quotePrefix="1" applyFont="1" applyFill="1" applyBorder="1" applyAlignment="1" applyProtection="1">
      <alignment horizontal="center" vertical="center"/>
      <protection hidden="1"/>
    </xf>
    <xf numFmtId="0" fontId="21" fillId="25" borderId="7" xfId="4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Protection="1">
      <protection hidden="1"/>
    </xf>
    <xf numFmtId="2" fontId="13" fillId="15" borderId="1" xfId="2" applyNumberFormat="1" applyFont="1" applyFill="1" applyBorder="1" applyAlignment="1" applyProtection="1">
      <alignment horizontal="center" vertical="center" wrapText="1"/>
      <protection hidden="1"/>
    </xf>
    <xf numFmtId="2" fontId="13" fillId="15" borderId="1" xfId="2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167" fontId="10" fillId="16" borderId="1" xfId="0" applyNumberFormat="1" applyFont="1" applyFill="1" applyBorder="1" applyAlignment="1" applyProtection="1">
      <alignment horizontal="center" vertical="center"/>
      <protection hidden="1"/>
    </xf>
    <xf numFmtId="0" fontId="11" fillId="4" borderId="1" xfId="3" quotePrefix="1" applyFont="1" applyFill="1" applyBorder="1" applyAlignment="1" applyProtection="1">
      <alignment horizontal="center" vertical="center"/>
      <protection hidden="1"/>
    </xf>
    <xf numFmtId="0" fontId="12" fillId="5" borderId="1" xfId="3" quotePrefix="1" applyFont="1" applyFill="1" applyBorder="1" applyAlignment="1" applyProtection="1">
      <alignment horizontal="center" vertical="center"/>
      <protection hidden="1"/>
    </xf>
    <xf numFmtId="0" fontId="12" fillId="6" borderId="1" xfId="3" quotePrefix="1" applyFont="1" applyFill="1" applyBorder="1" applyAlignment="1" applyProtection="1">
      <alignment horizontal="center" vertical="center"/>
      <protection hidden="1"/>
    </xf>
    <xf numFmtId="0" fontId="12" fillId="7" borderId="1" xfId="3" quotePrefix="1" applyFont="1" applyFill="1" applyBorder="1" applyAlignment="1" applyProtection="1">
      <alignment horizontal="center" vertical="center"/>
      <protection hidden="1"/>
    </xf>
    <xf numFmtId="0" fontId="12" fillId="8" borderId="1" xfId="3" quotePrefix="1" applyFont="1" applyFill="1" applyBorder="1" applyAlignment="1" applyProtection="1">
      <alignment horizontal="center" vertical="center"/>
      <protection hidden="1"/>
    </xf>
    <xf numFmtId="0" fontId="11" fillId="9" borderId="1" xfId="3" quotePrefix="1" applyFont="1" applyFill="1" applyBorder="1" applyAlignment="1" applyProtection="1">
      <alignment horizontal="center" vertical="center"/>
      <protection hidden="1"/>
    </xf>
    <xf numFmtId="0" fontId="11" fillId="10" borderId="1" xfId="3" quotePrefix="1" applyFont="1" applyFill="1" applyBorder="1" applyAlignment="1" applyProtection="1">
      <alignment horizontal="center" vertical="center"/>
      <protection hidden="1"/>
    </xf>
    <xf numFmtId="0" fontId="11" fillId="11" borderId="1" xfId="3" quotePrefix="1" applyFont="1" applyFill="1" applyBorder="1" applyAlignment="1" applyProtection="1">
      <alignment horizontal="center" vertical="center"/>
      <protection hidden="1"/>
    </xf>
    <xf numFmtId="0" fontId="11" fillId="12" borderId="1" xfId="3" quotePrefix="1" applyFont="1" applyFill="1" applyBorder="1" applyAlignment="1" applyProtection="1">
      <alignment horizontal="center" vertical="center"/>
      <protection hidden="1"/>
    </xf>
    <xf numFmtId="0" fontId="11" fillId="13" borderId="1" xfId="3" quotePrefix="1" applyFont="1" applyFill="1" applyBorder="1" applyAlignment="1" applyProtection="1">
      <alignment horizontal="center" vertical="center"/>
      <protection hidden="1"/>
    </xf>
    <xf numFmtId="0" fontId="7" fillId="3" borderId="1" xfId="1" applyFill="1" applyBorder="1" applyAlignment="1" applyProtection="1">
      <alignment horizontal="center"/>
      <protection hidden="1"/>
    </xf>
    <xf numFmtId="0" fontId="12" fillId="14" borderId="1" xfId="3" quotePrefix="1" applyFont="1" applyFill="1" applyBorder="1" applyAlignment="1" applyProtection="1">
      <alignment horizontal="center" vertical="center"/>
      <protection hidden="1"/>
    </xf>
    <xf numFmtId="0" fontId="13" fillId="15" borderId="1" xfId="2" applyFont="1" applyFill="1" applyBorder="1" applyAlignment="1" applyProtection="1">
      <alignment horizontal="center" vertical="center" wrapText="1"/>
      <protection hidden="1"/>
    </xf>
    <xf numFmtId="0" fontId="13" fillId="15" borderId="1" xfId="2" applyFont="1" applyFill="1" applyBorder="1" applyAlignment="1" applyProtection="1">
      <alignment horizontal="center" vertical="center"/>
      <protection hidden="1"/>
    </xf>
    <xf numFmtId="167" fontId="13" fillId="15" borderId="1" xfId="2" applyNumberFormat="1" applyFont="1" applyFill="1" applyBorder="1" applyAlignment="1" applyProtection="1">
      <alignment horizontal="center" vertical="center"/>
      <protection hidden="1"/>
    </xf>
    <xf numFmtId="0" fontId="14" fillId="2" borderId="1" xfId="0" applyFont="1" applyFill="1" applyBorder="1" applyProtection="1">
      <protection hidden="1"/>
    </xf>
    <xf numFmtId="1" fontId="15" fillId="2" borderId="1" xfId="0" applyNumberFormat="1" applyFont="1" applyFill="1" applyBorder="1" applyAlignment="1" applyProtection="1">
      <alignment horizontal="center" vertical="center"/>
      <protection hidden="1"/>
    </xf>
    <xf numFmtId="2" fontId="13" fillId="2" borderId="0" xfId="2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16" fillId="2" borderId="0" xfId="0" applyFont="1" applyFill="1" applyProtection="1">
      <protection hidden="1"/>
    </xf>
    <xf numFmtId="1" fontId="17" fillId="2" borderId="0" xfId="0" applyNumberFormat="1" applyFont="1" applyFill="1" applyProtection="1"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Protection="1">
      <protection hidden="1"/>
    </xf>
    <xf numFmtId="168" fontId="17" fillId="2" borderId="0" xfId="0" applyNumberFormat="1" applyFont="1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horizontal="right" vertical="center"/>
      <protection hidden="1"/>
    </xf>
    <xf numFmtId="168" fontId="0" fillId="2" borderId="0" xfId="0" applyNumberFormat="1" applyFill="1" applyAlignment="1" applyProtection="1">
      <alignment horizontal="center" vertical="center"/>
      <protection hidden="1"/>
    </xf>
    <xf numFmtId="169" fontId="17" fillId="2" borderId="0" xfId="0" applyNumberFormat="1" applyFont="1" applyFill="1" applyAlignment="1" applyProtection="1">
      <alignment horizontal="center" vertical="center"/>
      <protection hidden="1"/>
    </xf>
    <xf numFmtId="0" fontId="20" fillId="2" borderId="0" xfId="0" applyFont="1" applyFill="1" applyProtection="1">
      <protection hidden="1"/>
    </xf>
    <xf numFmtId="164" fontId="0" fillId="26" borderId="1" xfId="0" applyNumberFormat="1" applyFill="1" applyBorder="1" applyAlignment="1" applyProtection="1">
      <alignment horizontal="center"/>
      <protection locked="0"/>
    </xf>
    <xf numFmtId="165" fontId="0" fillId="26" borderId="3" xfId="0" applyNumberFormat="1" applyFill="1" applyBorder="1" applyAlignment="1" applyProtection="1">
      <alignment horizontal="center"/>
      <protection locked="0"/>
    </xf>
    <xf numFmtId="166" fontId="0" fillId="26" borderId="3" xfId="0" applyNumberFormat="1" applyFill="1" applyBorder="1" applyAlignment="1" applyProtection="1">
      <alignment horizontal="center"/>
      <protection locked="0"/>
    </xf>
    <xf numFmtId="0" fontId="0" fillId="26" borderId="1" xfId="0" applyFill="1" applyBorder="1" applyAlignment="1" applyProtection="1">
      <alignment horizontal="center"/>
      <protection locked="0"/>
    </xf>
    <xf numFmtId="170" fontId="0" fillId="26" borderId="1" xfId="0" applyNumberFormat="1" applyFill="1" applyBorder="1" applyAlignment="1" applyProtection="1">
      <alignment horizontal="center"/>
      <protection locked="0"/>
    </xf>
    <xf numFmtId="171" fontId="0" fillId="26" borderId="3" xfId="0" applyNumberFormat="1" applyFill="1" applyBorder="1" applyAlignment="1" applyProtection="1">
      <alignment horizontal="center"/>
      <protection locked="0"/>
    </xf>
    <xf numFmtId="1" fontId="10" fillId="26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0" xfId="5" applyFont="1" applyFill="1" applyProtection="1">
      <protection hidden="1"/>
    </xf>
    <xf numFmtId="0" fontId="16" fillId="2" borderId="0" xfId="5" applyFont="1" applyFill="1" applyProtection="1">
      <protection hidden="1"/>
    </xf>
    <xf numFmtId="0" fontId="16" fillId="27" borderId="0" xfId="5" applyFont="1" applyFill="1" applyProtection="1">
      <protection hidden="1"/>
    </xf>
    <xf numFmtId="0" fontId="16" fillId="0" borderId="0" xfId="5" applyFont="1" applyProtection="1">
      <protection hidden="1"/>
    </xf>
    <xf numFmtId="0" fontId="19" fillId="2" borderId="0" xfId="5" applyFont="1" applyFill="1" applyProtection="1">
      <protection hidden="1"/>
    </xf>
    <xf numFmtId="166" fontId="13" fillId="28" borderId="1" xfId="5" applyNumberFormat="1" applyFont="1" applyFill="1" applyBorder="1" applyAlignment="1" applyProtection="1">
      <alignment horizontal="center" vertical="center"/>
      <protection locked="0"/>
    </xf>
    <xf numFmtId="0" fontId="13" fillId="2" borderId="0" xfId="5" applyFont="1" applyFill="1" applyAlignment="1" applyProtection="1">
      <alignment horizontal="left" vertical="center"/>
      <protection hidden="1"/>
    </xf>
    <xf numFmtId="166" fontId="23" fillId="2" borderId="0" xfId="5" applyNumberFormat="1" applyFont="1" applyFill="1" applyBorder="1" applyAlignment="1" applyProtection="1">
      <alignment horizontal="center" vertical="center"/>
      <protection hidden="1"/>
    </xf>
    <xf numFmtId="166" fontId="23" fillId="27" borderId="0" xfId="5" applyNumberFormat="1" applyFont="1" applyFill="1" applyBorder="1" applyAlignment="1" applyProtection="1">
      <alignment horizontal="center" vertical="center"/>
      <protection hidden="1"/>
    </xf>
    <xf numFmtId="0" fontId="19" fillId="27" borderId="0" xfId="5" applyFont="1" applyFill="1" applyProtection="1">
      <protection hidden="1"/>
    </xf>
    <xf numFmtId="0" fontId="4" fillId="27" borderId="0" xfId="5" applyFill="1" applyProtection="1">
      <protection hidden="1"/>
    </xf>
    <xf numFmtId="0" fontId="23" fillId="27" borderId="0" xfId="6" applyFont="1" applyFill="1" applyBorder="1" applyAlignment="1" applyProtection="1">
      <alignment vertical="center" wrapText="1"/>
      <protection hidden="1"/>
    </xf>
    <xf numFmtId="0" fontId="4" fillId="2" borderId="0" xfId="5" applyFill="1" applyProtection="1">
      <protection hidden="1"/>
    </xf>
    <xf numFmtId="0" fontId="13" fillId="0" borderId="0" xfId="5" applyFont="1" applyAlignment="1" applyProtection="1">
      <alignment horizontal="center" vertical="center"/>
      <protection hidden="1"/>
    </xf>
    <xf numFmtId="0" fontId="23" fillId="2" borderId="0" xfId="5" applyFont="1" applyFill="1" applyAlignment="1" applyProtection="1">
      <alignment horizontal="center" vertical="center"/>
      <protection hidden="1"/>
    </xf>
    <xf numFmtId="0" fontId="23" fillId="27" borderId="0" xfId="5" applyFont="1" applyFill="1" applyAlignment="1" applyProtection="1">
      <alignment horizontal="center" vertical="center"/>
      <protection hidden="1"/>
    </xf>
    <xf numFmtId="0" fontId="25" fillId="27" borderId="0" xfId="7" applyFont="1" applyFill="1" applyAlignment="1" applyProtection="1">
      <alignment wrapText="1"/>
      <protection hidden="1"/>
    </xf>
    <xf numFmtId="1" fontId="26" fillId="27" borderId="0" xfId="5" applyNumberFormat="1" applyFont="1" applyFill="1" applyBorder="1" applyAlignment="1" applyProtection="1">
      <alignment vertical="center"/>
      <protection hidden="1"/>
    </xf>
    <xf numFmtId="0" fontId="23" fillId="2" borderId="0" xfId="6" applyFont="1" applyFill="1" applyBorder="1" applyAlignment="1" applyProtection="1">
      <alignment vertical="center" wrapText="1"/>
      <protection hidden="1"/>
    </xf>
    <xf numFmtId="165" fontId="13" fillId="28" borderId="1" xfId="5" applyNumberFormat="1" applyFont="1" applyFill="1" applyBorder="1" applyAlignment="1" applyProtection="1">
      <alignment horizontal="center" vertical="center"/>
      <protection locked="0"/>
    </xf>
    <xf numFmtId="165" fontId="23" fillId="2" borderId="0" xfId="5" applyNumberFormat="1" applyFont="1" applyFill="1" applyBorder="1" applyAlignment="1" applyProtection="1">
      <alignment horizontal="center" vertical="center"/>
      <protection hidden="1"/>
    </xf>
    <xf numFmtId="165" fontId="23" fillId="27" borderId="0" xfId="5" applyNumberFormat="1" applyFont="1" applyFill="1" applyBorder="1" applyAlignment="1" applyProtection="1">
      <alignment horizontal="center" vertical="center"/>
      <protection hidden="1"/>
    </xf>
    <xf numFmtId="0" fontId="27" fillId="27" borderId="0" xfId="5" applyFont="1" applyFill="1" applyAlignment="1" applyProtection="1">
      <alignment vertical="center" wrapText="1"/>
      <protection hidden="1"/>
    </xf>
    <xf numFmtId="0" fontId="27" fillId="2" borderId="0" xfId="5" applyFont="1" applyFill="1" applyAlignment="1" applyProtection="1">
      <alignment vertical="center" wrapText="1"/>
      <protection hidden="1"/>
    </xf>
    <xf numFmtId="0" fontId="28" fillId="2" borderId="0" xfId="6" applyFont="1" applyFill="1" applyBorder="1" applyAlignment="1" applyProtection="1">
      <alignment vertical="center" wrapText="1"/>
      <protection hidden="1"/>
    </xf>
    <xf numFmtId="175" fontId="13" fillId="16" borderId="1" xfId="5" applyNumberFormat="1" applyFont="1" applyFill="1" applyBorder="1" applyAlignment="1" applyProtection="1">
      <alignment horizontal="center" vertical="center"/>
      <protection hidden="1"/>
    </xf>
    <xf numFmtId="175" fontId="23" fillId="2" borderId="0" xfId="5" applyNumberFormat="1" applyFont="1" applyFill="1" applyBorder="1" applyAlignment="1" applyProtection="1">
      <alignment horizontal="center" vertical="center"/>
      <protection hidden="1"/>
    </xf>
    <xf numFmtId="175" fontId="23" fillId="27" borderId="0" xfId="5" applyNumberFormat="1" applyFont="1" applyFill="1" applyBorder="1" applyAlignment="1" applyProtection="1">
      <alignment horizontal="center" vertical="center"/>
      <protection hidden="1"/>
    </xf>
    <xf numFmtId="165" fontId="13" fillId="29" borderId="1" xfId="6" applyNumberFormat="1" applyFont="1" applyFill="1" applyBorder="1" applyAlignment="1" applyProtection="1">
      <alignment vertical="center" wrapText="1"/>
      <protection hidden="1"/>
    </xf>
    <xf numFmtId="165" fontId="13" fillId="30" borderId="3" xfId="6" applyNumberFormat="1" applyFont="1" applyFill="1" applyBorder="1" applyAlignment="1" applyProtection="1">
      <alignment vertical="center" wrapText="1"/>
      <protection hidden="1"/>
    </xf>
    <xf numFmtId="0" fontId="19" fillId="31" borderId="15" xfId="5" applyFont="1" applyFill="1" applyBorder="1" applyAlignment="1" applyProtection="1">
      <alignment vertical="center"/>
      <protection hidden="1"/>
    </xf>
    <xf numFmtId="0" fontId="10" fillId="31" borderId="3" xfId="5" applyFont="1" applyFill="1" applyBorder="1" applyAlignment="1" applyProtection="1">
      <alignment horizontal="center" vertical="center"/>
      <protection hidden="1"/>
    </xf>
    <xf numFmtId="0" fontId="19" fillId="33" borderId="15" xfId="5" applyFont="1" applyFill="1" applyBorder="1" applyAlignment="1" applyProtection="1">
      <alignment vertical="center"/>
      <protection hidden="1"/>
    </xf>
    <xf numFmtId="0" fontId="18" fillId="33" borderId="3" xfId="5" applyFont="1" applyFill="1" applyBorder="1" applyAlignment="1" applyProtection="1">
      <alignment horizontal="center" vertical="center"/>
      <protection hidden="1"/>
    </xf>
    <xf numFmtId="0" fontId="19" fillId="35" borderId="7" xfId="5" applyFont="1" applyFill="1" applyBorder="1" applyAlignment="1" applyProtection="1">
      <alignment vertical="center"/>
      <protection hidden="1"/>
    </xf>
    <xf numFmtId="0" fontId="19" fillId="35" borderId="15" xfId="5" applyFont="1" applyFill="1" applyBorder="1" applyAlignment="1" applyProtection="1">
      <alignment vertical="center"/>
      <protection hidden="1"/>
    </xf>
    <xf numFmtId="0" fontId="10" fillId="35" borderId="3" xfId="5" applyFont="1" applyFill="1" applyBorder="1" applyAlignment="1" applyProtection="1">
      <alignment vertical="center"/>
      <protection hidden="1"/>
    </xf>
    <xf numFmtId="0" fontId="19" fillId="36" borderId="7" xfId="5" applyFont="1" applyFill="1" applyBorder="1" applyAlignment="1" applyProtection="1">
      <alignment vertical="center" wrapText="1"/>
      <protection hidden="1"/>
    </xf>
    <xf numFmtId="0" fontId="19" fillId="36" borderId="15" xfId="5" applyFont="1" applyFill="1" applyBorder="1" applyAlignment="1" applyProtection="1">
      <alignment vertical="center"/>
      <protection hidden="1"/>
    </xf>
    <xf numFmtId="0" fontId="18" fillId="36" borderId="15" xfId="5" applyFont="1" applyFill="1" applyBorder="1" applyAlignment="1" applyProtection="1">
      <alignment vertical="center"/>
      <protection hidden="1"/>
    </xf>
    <xf numFmtId="0" fontId="30" fillId="2" borderId="0" xfId="7" applyFont="1" applyFill="1" applyAlignment="1" applyProtection="1">
      <alignment horizontal="center" vertical="center"/>
      <protection hidden="1"/>
    </xf>
    <xf numFmtId="0" fontId="19" fillId="2" borderId="0" xfId="5" applyFont="1" applyFill="1" applyAlignment="1" applyProtection="1">
      <alignment horizontal="center" vertical="center"/>
      <protection hidden="1"/>
    </xf>
    <xf numFmtId="0" fontId="10" fillId="6" borderId="1" xfId="8" quotePrefix="1" applyFont="1" applyFill="1" applyBorder="1" applyAlignment="1" applyProtection="1">
      <alignment horizontal="center" vertical="center"/>
      <protection hidden="1"/>
    </xf>
    <xf numFmtId="0" fontId="19" fillId="2" borderId="1" xfId="5" applyFont="1" applyFill="1" applyBorder="1" applyAlignment="1" applyProtection="1">
      <alignment horizontal="center" vertical="center"/>
      <protection hidden="1"/>
    </xf>
    <xf numFmtId="169" fontId="19" fillId="2" borderId="1" xfId="5" applyNumberFormat="1" applyFont="1" applyFill="1" applyBorder="1" applyAlignment="1" applyProtection="1">
      <alignment horizontal="center" vertical="center"/>
      <protection hidden="1"/>
    </xf>
    <xf numFmtId="169" fontId="19" fillId="2" borderId="5" xfId="5" applyNumberFormat="1" applyFont="1" applyFill="1" applyBorder="1" applyAlignment="1" applyProtection="1">
      <alignment horizontal="center" vertical="center"/>
      <protection hidden="1"/>
    </xf>
    <xf numFmtId="165" fontId="19" fillId="2" borderId="1" xfId="5" applyNumberFormat="1" applyFont="1" applyFill="1" applyBorder="1" applyAlignment="1" applyProtection="1">
      <alignment horizontal="center"/>
      <protection hidden="1"/>
    </xf>
    <xf numFmtId="1" fontId="19" fillId="2" borderId="18" xfId="5" applyNumberFormat="1" applyFont="1" applyFill="1" applyBorder="1" applyAlignment="1" applyProtection="1">
      <alignment horizontal="center" vertical="center"/>
      <protection hidden="1"/>
    </xf>
    <xf numFmtId="0" fontId="19" fillId="2" borderId="1" xfId="5" applyFont="1" applyFill="1" applyBorder="1" applyProtection="1">
      <protection hidden="1"/>
    </xf>
    <xf numFmtId="167" fontId="10" fillId="2" borderId="2" xfId="5" applyNumberFormat="1" applyFont="1" applyFill="1" applyBorder="1" applyProtection="1">
      <protection hidden="1"/>
    </xf>
    <xf numFmtId="167" fontId="19" fillId="2" borderId="4" xfId="5" applyNumberFormat="1" applyFont="1" applyFill="1" applyBorder="1" applyAlignment="1" applyProtection="1">
      <alignment horizontal="center"/>
      <protection hidden="1"/>
    </xf>
    <xf numFmtId="167" fontId="10" fillId="2" borderId="4" xfId="5" applyNumberFormat="1" applyFont="1" applyFill="1" applyBorder="1" applyAlignment="1" applyProtection="1">
      <alignment horizontal="center" vertical="center"/>
      <protection hidden="1"/>
    </xf>
    <xf numFmtId="167" fontId="10" fillId="2" borderId="2" xfId="5" applyNumberFormat="1" applyFont="1" applyFill="1" applyBorder="1" applyAlignment="1" applyProtection="1">
      <alignment horizontal="center" vertical="center"/>
      <protection hidden="1"/>
    </xf>
    <xf numFmtId="167" fontId="10" fillId="2" borderId="5" xfId="5" applyNumberFormat="1" applyFont="1" applyFill="1" applyBorder="1" applyAlignment="1" applyProtection="1">
      <alignment horizontal="center" vertical="center"/>
      <protection hidden="1"/>
    </xf>
    <xf numFmtId="167" fontId="19" fillId="2" borderId="2" xfId="5" applyNumberFormat="1" applyFont="1" applyFill="1" applyBorder="1" applyAlignment="1" applyProtection="1">
      <alignment horizontal="center" vertical="center"/>
      <protection hidden="1"/>
    </xf>
    <xf numFmtId="167" fontId="19" fillId="2" borderId="5" xfId="5" applyNumberFormat="1" applyFont="1" applyFill="1" applyBorder="1" applyAlignment="1" applyProtection="1">
      <alignment horizontal="center"/>
      <protection hidden="1"/>
    </xf>
    <xf numFmtId="1" fontId="19" fillId="2" borderId="1" xfId="5" applyNumberFormat="1" applyFont="1" applyFill="1" applyBorder="1" applyAlignment="1" applyProtection="1">
      <alignment horizontal="center" vertical="center"/>
      <protection hidden="1"/>
    </xf>
    <xf numFmtId="0" fontId="4" fillId="0" borderId="0" xfId="5" applyProtection="1">
      <protection hidden="1"/>
    </xf>
    <xf numFmtId="0" fontId="27" fillId="2" borderId="0" xfId="5" applyFont="1" applyFill="1" applyProtection="1">
      <protection hidden="1"/>
    </xf>
    <xf numFmtId="0" fontId="19" fillId="2" borderId="0" xfId="5" applyFont="1" applyFill="1" applyBorder="1" applyAlignment="1" applyProtection="1">
      <protection hidden="1"/>
    </xf>
    <xf numFmtId="0" fontId="19" fillId="2" borderId="0" xfId="5" applyFont="1" applyFill="1" applyBorder="1" applyProtection="1">
      <protection hidden="1"/>
    </xf>
    <xf numFmtId="169" fontId="10" fillId="16" borderId="1" xfId="5" applyNumberFormat="1" applyFont="1" applyFill="1" applyBorder="1" applyAlignment="1" applyProtection="1">
      <alignment horizontal="center" vertical="center"/>
      <protection hidden="1"/>
    </xf>
    <xf numFmtId="0" fontId="9" fillId="2" borderId="16" xfId="5" applyFont="1" applyFill="1" applyBorder="1" applyAlignment="1" applyProtection="1">
      <protection hidden="1"/>
    </xf>
    <xf numFmtId="0" fontId="32" fillId="2" borderId="0" xfId="5" applyFont="1" applyFill="1" applyAlignment="1" applyProtection="1">
      <protection hidden="1"/>
    </xf>
    <xf numFmtId="175" fontId="13" fillId="2" borderId="0" xfId="5" applyNumberFormat="1" applyFont="1" applyFill="1" applyBorder="1" applyAlignment="1" applyProtection="1">
      <alignment horizontal="center" vertical="center"/>
      <protection hidden="1"/>
    </xf>
    <xf numFmtId="0" fontId="9" fillId="2" borderId="0" xfId="5" applyFont="1" applyFill="1" applyProtection="1">
      <protection hidden="1"/>
    </xf>
    <xf numFmtId="0" fontId="19" fillId="2" borderId="0" xfId="5" applyFont="1" applyFill="1" applyAlignment="1" applyProtection="1">
      <protection hidden="1"/>
    </xf>
    <xf numFmtId="175" fontId="13" fillId="28" borderId="1" xfId="5" applyNumberFormat="1" applyFont="1" applyFill="1" applyBorder="1" applyAlignment="1" applyProtection="1">
      <alignment horizontal="center" vertical="center"/>
      <protection locked="0"/>
    </xf>
    <xf numFmtId="0" fontId="33" fillId="2" borderId="0" xfId="5" applyFont="1" applyFill="1" applyProtection="1">
      <protection hidden="1"/>
    </xf>
    <xf numFmtId="178" fontId="10" fillId="16" borderId="1" xfId="5" applyNumberFormat="1" applyFont="1" applyFill="1" applyBorder="1" applyAlignment="1" applyProtection="1">
      <alignment horizontal="center"/>
      <protection hidden="1"/>
    </xf>
    <xf numFmtId="179" fontId="13" fillId="28" borderId="1" xfId="5" applyNumberFormat="1" applyFont="1" applyFill="1" applyBorder="1" applyAlignment="1" applyProtection="1">
      <alignment horizontal="center" vertical="center"/>
      <protection locked="0"/>
    </xf>
    <xf numFmtId="179" fontId="13" fillId="16" borderId="1" xfId="5" applyNumberFormat="1" applyFont="1" applyFill="1" applyBorder="1" applyAlignment="1" applyProtection="1">
      <alignment horizontal="center" vertical="center"/>
      <protection hidden="1"/>
    </xf>
    <xf numFmtId="2" fontId="13" fillId="28" borderId="1" xfId="5" applyNumberFormat="1" applyFont="1" applyFill="1" applyBorder="1" applyAlignment="1" applyProtection="1">
      <alignment horizontal="center" vertical="center"/>
      <protection locked="0"/>
    </xf>
    <xf numFmtId="2" fontId="10" fillId="16" borderId="1" xfId="5" applyNumberFormat="1" applyFont="1" applyFill="1" applyBorder="1" applyAlignment="1" applyProtection="1">
      <alignment horizontal="center"/>
      <protection hidden="1"/>
    </xf>
    <xf numFmtId="0" fontId="10" fillId="7" borderId="1" xfId="8" quotePrefix="1" applyFont="1" applyFill="1" applyBorder="1" applyAlignment="1" applyProtection="1">
      <alignment horizontal="center" vertical="center"/>
      <protection hidden="1"/>
    </xf>
    <xf numFmtId="165" fontId="19" fillId="2" borderId="19" xfId="5" applyNumberFormat="1" applyFont="1" applyFill="1" applyBorder="1" applyAlignment="1" applyProtection="1">
      <alignment horizontal="center"/>
      <protection hidden="1"/>
    </xf>
    <xf numFmtId="165" fontId="19" fillId="2" borderId="20" xfId="5" applyNumberFormat="1" applyFont="1" applyFill="1" applyBorder="1" applyAlignment="1" applyProtection="1">
      <alignment horizontal="center"/>
      <protection hidden="1"/>
    </xf>
    <xf numFmtId="165" fontId="19" fillId="2" borderId="21" xfId="5" applyNumberFormat="1" applyFont="1" applyFill="1" applyBorder="1" applyAlignment="1" applyProtection="1">
      <alignment horizontal="center"/>
      <protection hidden="1"/>
    </xf>
    <xf numFmtId="178" fontId="10" fillId="2" borderId="0" xfId="5" applyNumberFormat="1" applyFont="1" applyFill="1" applyBorder="1" applyAlignment="1" applyProtection="1">
      <alignment horizontal="center"/>
      <protection hidden="1"/>
    </xf>
    <xf numFmtId="179" fontId="13" fillId="2" borderId="0" xfId="5" applyNumberFormat="1" applyFont="1" applyFill="1" applyBorder="1" applyAlignment="1" applyProtection="1">
      <alignment horizontal="center" vertical="center"/>
      <protection hidden="1"/>
    </xf>
    <xf numFmtId="167" fontId="13" fillId="34" borderId="2" xfId="6" applyNumberFormat="1" applyFont="1" applyFill="1" applyBorder="1" applyAlignment="1" applyProtection="1">
      <alignment horizontal="right" vertical="center"/>
      <protection hidden="1"/>
    </xf>
    <xf numFmtId="0" fontId="33" fillId="2" borderId="0" xfId="5" applyFont="1" applyFill="1" applyBorder="1" applyProtection="1">
      <protection hidden="1"/>
    </xf>
    <xf numFmtId="167" fontId="18" fillId="10" borderId="2" xfId="6" applyNumberFormat="1" applyFont="1" applyFill="1" applyBorder="1" applyAlignment="1" applyProtection="1">
      <alignment horizontal="right" vertical="center"/>
      <protection hidden="1"/>
    </xf>
    <xf numFmtId="0" fontId="18" fillId="12" borderId="1" xfId="8" quotePrefix="1" applyFont="1" applyFill="1" applyBorder="1" applyAlignment="1" applyProtection="1">
      <alignment horizontal="center" vertical="center"/>
      <protection hidden="1"/>
    </xf>
    <xf numFmtId="175" fontId="13" fillId="2" borderId="0" xfId="5" applyNumberFormat="1" applyFont="1" applyFill="1" applyBorder="1" applyAlignment="1" applyProtection="1">
      <alignment horizontal="center" vertical="center"/>
      <protection locked="0"/>
    </xf>
    <xf numFmtId="179" fontId="13" fillId="2" borderId="0" xfId="5" applyNumberFormat="1" applyFont="1" applyFill="1" applyBorder="1" applyAlignment="1" applyProtection="1">
      <alignment horizontal="center" vertical="center"/>
      <protection locked="0"/>
    </xf>
    <xf numFmtId="166" fontId="13" fillId="16" borderId="1" xfId="5" applyNumberFormat="1" applyFont="1" applyFill="1" applyBorder="1" applyAlignment="1" applyProtection="1">
      <alignment horizontal="center" vertical="center"/>
      <protection hidden="1"/>
    </xf>
    <xf numFmtId="165" fontId="13" fillId="16" borderId="1" xfId="5" applyNumberFormat="1" applyFont="1" applyFill="1" applyBorder="1" applyAlignment="1" applyProtection="1">
      <alignment horizontal="center" vertical="center"/>
      <protection hidden="1"/>
    </xf>
    <xf numFmtId="167" fontId="18" fillId="12" borderId="2" xfId="6" applyNumberFormat="1" applyFont="1" applyFill="1" applyBorder="1" applyAlignment="1" applyProtection="1">
      <alignment horizontal="right" vertical="center"/>
      <protection hidden="1"/>
    </xf>
    <xf numFmtId="167" fontId="18" fillId="13" borderId="2" xfId="6" applyNumberFormat="1" applyFont="1" applyFill="1" applyBorder="1" applyAlignment="1" applyProtection="1">
      <alignment horizontal="right" vertical="center"/>
      <protection hidden="1"/>
    </xf>
    <xf numFmtId="167" fontId="13" fillId="14" borderId="2" xfId="6" applyNumberFormat="1" applyFont="1" applyFill="1" applyBorder="1" applyAlignment="1" applyProtection="1">
      <alignment horizontal="right" vertical="center"/>
      <protection hidden="1"/>
    </xf>
    <xf numFmtId="167" fontId="18" fillId="9" borderId="2" xfId="6" applyNumberFormat="1" applyFont="1" applyFill="1" applyBorder="1" applyAlignment="1" applyProtection="1">
      <alignment horizontal="right" vertical="center"/>
      <protection hidden="1"/>
    </xf>
    <xf numFmtId="180" fontId="10" fillId="16" borderId="1" xfId="5" applyNumberFormat="1" applyFont="1" applyFill="1" applyBorder="1" applyAlignment="1" applyProtection="1">
      <alignment horizontal="center"/>
      <protection hidden="1"/>
    </xf>
    <xf numFmtId="0" fontId="0" fillId="2" borderId="0" xfId="0" applyFill="1"/>
    <xf numFmtId="0" fontId="0" fillId="2" borderId="2" xfId="0" applyFill="1" applyBorder="1"/>
    <xf numFmtId="164" fontId="0" fillId="40" borderId="1" xfId="0" applyNumberFormat="1" applyFill="1" applyBorder="1" applyAlignment="1" applyProtection="1">
      <alignment horizontal="center"/>
      <protection locked="0"/>
    </xf>
    <xf numFmtId="165" fontId="0" fillId="40" borderId="3" xfId="0" applyNumberFormat="1" applyFill="1" applyBorder="1" applyAlignment="1" applyProtection="1">
      <alignment horizontal="center"/>
      <protection locked="0"/>
    </xf>
    <xf numFmtId="166" fontId="0" fillId="40" borderId="3" xfId="0" applyNumberForma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right" vertical="center"/>
    </xf>
    <xf numFmtId="0" fontId="11" fillId="4" borderId="1" xfId="9" quotePrefix="1" applyFont="1" applyFill="1" applyBorder="1" applyAlignment="1">
      <alignment horizontal="center" vertical="center"/>
    </xf>
    <xf numFmtId="0" fontId="12" fillId="5" borderId="1" xfId="9" quotePrefix="1" applyFont="1" applyFill="1" applyBorder="1" applyAlignment="1">
      <alignment horizontal="center" vertical="center"/>
    </xf>
    <xf numFmtId="0" fontId="12" fillId="6" borderId="1" xfId="9" quotePrefix="1" applyFont="1" applyFill="1" applyBorder="1" applyAlignment="1">
      <alignment horizontal="center" vertical="center"/>
    </xf>
    <xf numFmtId="0" fontId="12" fillId="7" borderId="1" xfId="9" quotePrefix="1" applyFont="1" applyFill="1" applyBorder="1" applyAlignment="1">
      <alignment horizontal="center" vertical="center"/>
    </xf>
    <xf numFmtId="0" fontId="12" fillId="8" borderId="1" xfId="9" quotePrefix="1" applyFont="1" applyFill="1" applyBorder="1" applyAlignment="1">
      <alignment horizontal="center" vertical="center"/>
    </xf>
    <xf numFmtId="0" fontId="11" fillId="9" borderId="1" xfId="9" quotePrefix="1" applyFont="1" applyFill="1" applyBorder="1" applyAlignment="1">
      <alignment horizontal="center" vertical="center"/>
    </xf>
    <xf numFmtId="0" fontId="11" fillId="10" borderId="1" xfId="9" quotePrefix="1" applyFont="1" applyFill="1" applyBorder="1" applyAlignment="1">
      <alignment horizontal="center" vertical="center"/>
    </xf>
    <xf numFmtId="0" fontId="11" fillId="11" borderId="1" xfId="9" quotePrefix="1" applyFont="1" applyFill="1" applyBorder="1" applyAlignment="1">
      <alignment horizontal="center" vertical="center"/>
    </xf>
    <xf numFmtId="0" fontId="11" fillId="12" borderId="1" xfId="9" quotePrefix="1" applyFont="1" applyFill="1" applyBorder="1" applyAlignment="1">
      <alignment horizontal="center" vertical="center"/>
    </xf>
    <xf numFmtId="0" fontId="11" fillId="13" borderId="1" xfId="9" quotePrefix="1" applyFont="1" applyFill="1" applyBorder="1" applyAlignment="1">
      <alignment horizontal="center" vertical="center"/>
    </xf>
    <xf numFmtId="0" fontId="12" fillId="14" borderId="1" xfId="9" quotePrefix="1" applyFont="1" applyFill="1" applyBorder="1" applyAlignment="1">
      <alignment horizontal="center" vertical="center"/>
    </xf>
    <xf numFmtId="0" fontId="0" fillId="2" borderId="1" xfId="0" applyFill="1" applyBorder="1"/>
    <xf numFmtId="0" fontId="0" fillId="40" borderId="1" xfId="0" applyFill="1" applyBorder="1" applyAlignment="1" applyProtection="1">
      <alignment horizontal="center"/>
      <protection locked="0"/>
    </xf>
    <xf numFmtId="2" fontId="13" fillId="15" borderId="1" xfId="2" applyNumberFormat="1" applyFont="1" applyFill="1" applyBorder="1" applyAlignment="1" applyProtection="1">
      <alignment horizontal="center" vertical="center" wrapText="1"/>
    </xf>
    <xf numFmtId="0" fontId="13" fillId="15" borderId="1" xfId="2" applyFont="1" applyFill="1" applyBorder="1" applyAlignment="1" applyProtection="1">
      <alignment horizontal="center" vertical="center" wrapText="1"/>
    </xf>
    <xf numFmtId="0" fontId="13" fillId="15" borderId="1" xfId="2" applyFont="1" applyFill="1" applyBorder="1" applyAlignment="1" applyProtection="1">
      <alignment horizontal="center" vertical="center"/>
    </xf>
    <xf numFmtId="167" fontId="13" fillId="15" borderId="1" xfId="2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/>
    <xf numFmtId="1" fontId="15" fillId="2" borderId="1" xfId="0" applyNumberFormat="1" applyFont="1" applyFill="1" applyBorder="1" applyAlignment="1">
      <alignment horizontal="center" vertical="center"/>
    </xf>
    <xf numFmtId="167" fontId="10" fillId="16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" fontId="10" fillId="40" borderId="1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/>
    <xf numFmtId="1" fontId="17" fillId="2" borderId="0" xfId="0" applyNumberFormat="1" applyFont="1" applyFill="1"/>
    <xf numFmtId="0" fontId="17" fillId="2" borderId="0" xfId="0" applyFont="1" applyFill="1"/>
    <xf numFmtId="168" fontId="17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0" fillId="2" borderId="0" xfId="0" applyFill="1" applyAlignment="1">
      <alignment horizontal="right" vertical="center"/>
    </xf>
    <xf numFmtId="168" fontId="0" fillId="2" borderId="0" xfId="0" applyNumberFormat="1" applyFill="1" applyAlignment="1">
      <alignment horizontal="center" vertical="center"/>
    </xf>
    <xf numFmtId="168" fontId="20" fillId="2" borderId="0" xfId="0" applyNumberFormat="1" applyFont="1" applyFill="1" applyAlignment="1">
      <alignment horizontal="center" vertical="center"/>
    </xf>
    <xf numFmtId="170" fontId="0" fillId="40" borderId="1" xfId="0" applyNumberFormat="1" applyFill="1" applyBorder="1" applyAlignment="1" applyProtection="1">
      <alignment horizontal="center"/>
      <protection locked="0"/>
    </xf>
    <xf numFmtId="171" fontId="0" fillId="40" borderId="3" xfId="0" applyNumberForma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/>
    <xf numFmtId="0" fontId="6" fillId="2" borderId="0" xfId="0" applyFont="1" applyFill="1" applyBorder="1" applyAlignment="1" applyProtection="1">
      <protection hidden="1"/>
    </xf>
    <xf numFmtId="0" fontId="7" fillId="2" borderId="0" xfId="1" applyFill="1" applyBorder="1" applyAlignment="1" applyProtection="1">
      <alignment horizontal="center"/>
      <protection hidden="1"/>
    </xf>
    <xf numFmtId="166" fontId="35" fillId="2" borderId="0" xfId="5" applyNumberFormat="1" applyFont="1" applyFill="1" applyBorder="1" applyAlignment="1" applyProtection="1">
      <alignment horizontal="center" vertical="center"/>
      <protection hidden="1"/>
    </xf>
    <xf numFmtId="0" fontId="19" fillId="0" borderId="0" xfId="10" applyFont="1" applyAlignment="1">
      <alignment horizontal="center" vertical="center" wrapText="1"/>
    </xf>
    <xf numFmtId="0" fontId="19" fillId="0" borderId="0" xfId="10" applyFont="1" applyAlignment="1">
      <alignment horizontal="center" vertical="center"/>
    </xf>
    <xf numFmtId="0" fontId="19" fillId="0" borderId="0" xfId="10" applyFont="1"/>
    <xf numFmtId="167" fontId="19" fillId="0" borderId="0" xfId="10" applyNumberFormat="1" applyFont="1" applyAlignment="1">
      <alignment horizontal="center"/>
    </xf>
    <xf numFmtId="17" fontId="19" fillId="0" borderId="0" xfId="10" applyNumberFormat="1" applyFont="1" applyAlignment="1">
      <alignment horizontal="center" vertical="center"/>
    </xf>
    <xf numFmtId="167" fontId="19" fillId="32" borderId="0" xfId="10" applyNumberFormat="1" applyFont="1" applyFill="1" applyAlignment="1">
      <alignment horizontal="center"/>
    </xf>
    <xf numFmtId="0" fontId="19" fillId="32" borderId="0" xfId="10" applyFont="1" applyFill="1"/>
    <xf numFmtId="167" fontId="18" fillId="10" borderId="2" xfId="6" applyNumberFormat="1" applyFont="1" applyFill="1" applyBorder="1" applyAlignment="1" applyProtection="1">
      <alignment horizontal="center" vertical="center"/>
      <protection hidden="1"/>
    </xf>
    <xf numFmtId="167" fontId="18" fillId="13" borderId="2" xfId="6" applyNumberFormat="1" applyFont="1" applyFill="1" applyBorder="1" applyAlignment="1" applyProtection="1">
      <alignment horizontal="center" vertical="center"/>
      <protection hidden="1"/>
    </xf>
    <xf numFmtId="178" fontId="23" fillId="19" borderId="12" xfId="6" applyNumberFormat="1" applyFont="1" applyFill="1" applyBorder="1" applyAlignment="1" applyProtection="1">
      <alignment horizontal="center" vertical="center"/>
      <protection hidden="1"/>
    </xf>
    <xf numFmtId="178" fontId="23" fillId="19" borderId="13" xfId="6" applyNumberFormat="1" applyFont="1" applyFill="1" applyBorder="1" applyAlignment="1" applyProtection="1">
      <alignment horizontal="center" vertical="center"/>
      <protection hidden="1"/>
    </xf>
    <xf numFmtId="178" fontId="31" fillId="25" borderId="4" xfId="6" applyNumberFormat="1" applyFont="1" applyFill="1" applyBorder="1" applyAlignment="1" applyProtection="1">
      <alignment horizontal="center" vertical="center"/>
      <protection hidden="1"/>
    </xf>
    <xf numFmtId="178" fontId="23" fillId="23" borderId="2" xfId="6" applyNumberFormat="1" applyFont="1" applyFill="1" applyBorder="1" applyAlignment="1" applyProtection="1">
      <alignment horizontal="center" vertical="center"/>
      <protection hidden="1"/>
    </xf>
    <xf numFmtId="178" fontId="23" fillId="23" borderId="4" xfId="6" applyNumberFormat="1" applyFont="1" applyFill="1" applyBorder="1" applyAlignment="1" applyProtection="1">
      <alignment horizontal="center" vertical="center"/>
      <protection hidden="1"/>
    </xf>
    <xf numFmtId="0" fontId="19" fillId="39" borderId="2" xfId="10" applyFont="1" applyFill="1" applyBorder="1" applyAlignment="1">
      <alignment horizontal="center" vertical="center" wrapText="1"/>
    </xf>
    <xf numFmtId="0" fontId="19" fillId="39" borderId="5" xfId="10" applyFont="1" applyFill="1" applyBorder="1" applyAlignment="1">
      <alignment horizontal="center" vertical="center" wrapText="1"/>
    </xf>
    <xf numFmtId="0" fontId="19" fillId="12" borderId="12" xfId="5" applyFont="1" applyFill="1" applyBorder="1" applyAlignment="1" applyProtection="1">
      <alignment horizontal="center" vertical="center" wrapText="1"/>
      <protection hidden="1"/>
    </xf>
    <xf numFmtId="0" fontId="19" fillId="12" borderId="13" xfId="5" applyFont="1" applyFill="1" applyBorder="1" applyAlignment="1" applyProtection="1">
      <alignment horizontal="center" vertical="center" wrapText="1"/>
      <protection hidden="1"/>
    </xf>
    <xf numFmtId="0" fontId="19" fillId="12" borderId="14" xfId="5" applyFont="1" applyFill="1" applyBorder="1" applyAlignment="1" applyProtection="1">
      <alignment horizontal="center" vertical="center" wrapText="1"/>
      <protection hidden="1"/>
    </xf>
    <xf numFmtId="0" fontId="19" fillId="12" borderId="16" xfId="5" applyFont="1" applyFill="1" applyBorder="1" applyAlignment="1" applyProtection="1">
      <alignment horizontal="center" vertical="center" wrapText="1"/>
      <protection hidden="1"/>
    </xf>
    <xf numFmtId="0" fontId="19" fillId="12" borderId="0" xfId="5" applyFont="1" applyFill="1" applyBorder="1" applyAlignment="1" applyProtection="1">
      <alignment horizontal="center" vertical="center" wrapText="1"/>
      <protection hidden="1"/>
    </xf>
    <xf numFmtId="0" fontId="19" fillId="12" borderId="17" xfId="5" applyFont="1" applyFill="1" applyBorder="1" applyAlignment="1" applyProtection="1">
      <alignment horizontal="center" vertical="center" wrapText="1"/>
      <protection hidden="1"/>
    </xf>
    <xf numFmtId="0" fontId="19" fillId="32" borderId="12" xfId="5" applyFont="1" applyFill="1" applyBorder="1" applyAlignment="1" applyProtection="1">
      <alignment horizontal="center"/>
      <protection hidden="1"/>
    </xf>
    <xf numFmtId="0" fontId="19" fillId="32" borderId="13" xfId="5" applyFont="1" applyFill="1" applyBorder="1" applyAlignment="1" applyProtection="1">
      <alignment horizontal="center"/>
      <protection hidden="1"/>
    </xf>
    <xf numFmtId="0" fontId="19" fillId="32" borderId="14" xfId="5" applyFont="1" applyFill="1" applyBorder="1" applyAlignment="1" applyProtection="1">
      <alignment horizontal="center"/>
      <protection hidden="1"/>
    </xf>
    <xf numFmtId="0" fontId="19" fillId="32" borderId="16" xfId="5" applyFont="1" applyFill="1" applyBorder="1" applyAlignment="1" applyProtection="1">
      <alignment horizontal="center"/>
      <protection hidden="1"/>
    </xf>
    <xf numFmtId="0" fontId="19" fillId="32" borderId="0" xfId="5" applyFont="1" applyFill="1" applyBorder="1" applyAlignment="1" applyProtection="1">
      <alignment horizontal="center"/>
      <protection hidden="1"/>
    </xf>
    <xf numFmtId="0" fontId="19" fillId="32" borderId="17" xfId="5" applyFont="1" applyFill="1" applyBorder="1" applyAlignment="1" applyProtection="1">
      <alignment horizontal="center"/>
      <protection hidden="1"/>
    </xf>
    <xf numFmtId="0" fontId="19" fillId="32" borderId="10" xfId="5" applyFont="1" applyFill="1" applyBorder="1" applyAlignment="1" applyProtection="1">
      <alignment horizontal="center"/>
      <protection hidden="1"/>
    </xf>
    <xf numFmtId="0" fontId="19" fillId="32" borderId="9" xfId="5" applyFont="1" applyFill="1" applyBorder="1" applyAlignment="1" applyProtection="1">
      <alignment horizontal="center"/>
      <protection hidden="1"/>
    </xf>
    <xf numFmtId="0" fontId="19" fillId="32" borderId="11" xfId="5" applyFont="1" applyFill="1" applyBorder="1" applyAlignment="1" applyProtection="1">
      <alignment horizontal="center"/>
      <protection hidden="1"/>
    </xf>
    <xf numFmtId="0" fontId="30" fillId="37" borderId="10" xfId="7" applyFont="1" applyFill="1" applyBorder="1" applyAlignment="1" applyProtection="1">
      <alignment horizontal="center" vertical="center" wrapText="1"/>
      <protection hidden="1"/>
    </xf>
    <xf numFmtId="0" fontId="30" fillId="37" borderId="9" xfId="7" applyFont="1" applyFill="1" applyBorder="1" applyAlignment="1" applyProtection="1">
      <alignment horizontal="center" vertical="center" wrapText="1"/>
      <protection hidden="1"/>
    </xf>
    <xf numFmtId="0" fontId="30" fillId="37" borderId="11" xfId="7" applyFont="1" applyFill="1" applyBorder="1" applyAlignment="1" applyProtection="1">
      <alignment horizontal="center" vertical="center" wrapText="1"/>
      <protection hidden="1"/>
    </xf>
    <xf numFmtId="0" fontId="30" fillId="34" borderId="10" xfId="7" applyFont="1" applyFill="1" applyBorder="1" applyAlignment="1" applyProtection="1">
      <alignment horizontal="center" vertical="center" wrapText="1"/>
      <protection hidden="1"/>
    </xf>
    <xf numFmtId="0" fontId="30" fillId="34" borderId="9" xfId="7" applyFont="1" applyFill="1" applyBorder="1" applyAlignment="1" applyProtection="1">
      <alignment horizontal="center" vertical="center" wrapText="1"/>
      <protection hidden="1"/>
    </xf>
    <xf numFmtId="0" fontId="30" fillId="34" borderId="11" xfId="7" applyFont="1" applyFill="1" applyBorder="1" applyAlignment="1" applyProtection="1">
      <alignment horizontal="center" vertical="center" wrapText="1"/>
      <protection hidden="1"/>
    </xf>
    <xf numFmtId="0" fontId="30" fillId="10" borderId="10" xfId="7" applyFont="1" applyFill="1" applyBorder="1" applyAlignment="1" applyProtection="1">
      <alignment horizontal="center" vertical="center" wrapText="1"/>
      <protection hidden="1"/>
    </xf>
    <xf numFmtId="0" fontId="30" fillId="10" borderId="9" xfId="7" applyFont="1" applyFill="1" applyBorder="1" applyAlignment="1" applyProtection="1">
      <alignment horizontal="center" vertical="center" wrapText="1"/>
      <protection hidden="1"/>
    </xf>
    <xf numFmtId="0" fontId="30" fillId="10" borderId="11" xfId="7" applyFont="1" applyFill="1" applyBorder="1" applyAlignment="1" applyProtection="1">
      <alignment horizontal="center" vertical="center" wrapText="1"/>
      <protection hidden="1"/>
    </xf>
    <xf numFmtId="0" fontId="30" fillId="12" borderId="10" xfId="7" applyFont="1" applyFill="1" applyBorder="1" applyAlignment="1" applyProtection="1">
      <alignment horizontal="center" vertical="center" wrapText="1"/>
      <protection hidden="1"/>
    </xf>
    <xf numFmtId="0" fontId="30" fillId="12" borderId="9" xfId="7" applyFont="1" applyFill="1" applyBorder="1" applyAlignment="1" applyProtection="1">
      <alignment horizontal="center" vertical="center" wrapText="1"/>
      <protection hidden="1"/>
    </xf>
    <xf numFmtId="0" fontId="30" fillId="12" borderId="11" xfId="7" applyFont="1" applyFill="1" applyBorder="1" applyAlignment="1" applyProtection="1">
      <alignment horizontal="center" vertical="center" wrapText="1"/>
      <protection hidden="1"/>
    </xf>
    <xf numFmtId="0" fontId="19" fillId="10" borderId="12" xfId="5" applyFont="1" applyFill="1" applyBorder="1" applyAlignment="1" applyProtection="1">
      <alignment horizontal="center" vertical="center" wrapText="1"/>
      <protection hidden="1"/>
    </xf>
    <xf numFmtId="0" fontId="19" fillId="10" borderId="13" xfId="5" applyFont="1" applyFill="1" applyBorder="1" applyAlignment="1" applyProtection="1">
      <alignment horizontal="center" vertical="center" wrapText="1"/>
      <protection hidden="1"/>
    </xf>
    <xf numFmtId="0" fontId="19" fillId="10" borderId="14" xfId="5" applyFont="1" applyFill="1" applyBorder="1" applyAlignment="1" applyProtection="1">
      <alignment horizontal="center" vertical="center" wrapText="1"/>
      <protection hidden="1"/>
    </xf>
    <xf numFmtId="0" fontId="19" fillId="10" borderId="16" xfId="5" applyFont="1" applyFill="1" applyBorder="1" applyAlignment="1" applyProtection="1">
      <alignment horizontal="center" vertical="center" wrapText="1"/>
      <protection hidden="1"/>
    </xf>
    <xf numFmtId="0" fontId="19" fillId="10" borderId="0" xfId="5" applyFont="1" applyFill="1" applyBorder="1" applyAlignment="1" applyProtection="1">
      <alignment horizontal="center" vertical="center" wrapText="1"/>
      <protection hidden="1"/>
    </xf>
    <xf numFmtId="0" fontId="19" fillId="10" borderId="17" xfId="5" applyFont="1" applyFill="1" applyBorder="1" applyAlignment="1" applyProtection="1">
      <alignment horizontal="center" vertical="center" wrapText="1"/>
      <protection hidden="1"/>
    </xf>
    <xf numFmtId="0" fontId="19" fillId="38" borderId="7" xfId="5" applyFont="1" applyFill="1" applyBorder="1" applyAlignment="1" applyProtection="1">
      <alignment horizontal="right" vertical="center" wrapText="1"/>
      <protection hidden="1"/>
    </xf>
    <xf numFmtId="0" fontId="19" fillId="38" borderId="15" xfId="5" applyFont="1" applyFill="1" applyBorder="1" applyAlignment="1" applyProtection="1">
      <alignment horizontal="right" vertical="center"/>
      <protection hidden="1"/>
    </xf>
    <xf numFmtId="0" fontId="19" fillId="38" borderId="3" xfId="5" applyFont="1" applyFill="1" applyBorder="1" applyAlignment="1" applyProtection="1">
      <alignment horizontal="right" vertical="center"/>
      <protection hidden="1"/>
    </xf>
    <xf numFmtId="0" fontId="19" fillId="37" borderId="12" xfId="5" applyFont="1" applyFill="1" applyBorder="1" applyAlignment="1" applyProtection="1">
      <alignment horizontal="center" vertical="center" wrapText="1"/>
      <protection hidden="1"/>
    </xf>
    <xf numFmtId="0" fontId="19" fillId="37" borderId="13" xfId="5" applyFont="1" applyFill="1" applyBorder="1" applyAlignment="1" applyProtection="1">
      <alignment horizontal="center" vertical="center" wrapText="1"/>
      <protection hidden="1"/>
    </xf>
    <xf numFmtId="0" fontId="19" fillId="37" borderId="14" xfId="5" applyFont="1" applyFill="1" applyBorder="1" applyAlignment="1" applyProtection="1">
      <alignment horizontal="center" vertical="center" wrapText="1"/>
      <protection hidden="1"/>
    </xf>
    <xf numFmtId="0" fontId="19" fillId="37" borderId="16" xfId="5" applyFont="1" applyFill="1" applyBorder="1" applyAlignment="1" applyProtection="1">
      <alignment horizontal="center" vertical="center" wrapText="1"/>
      <protection hidden="1"/>
    </xf>
    <xf numFmtId="0" fontId="19" fillId="37" borderId="0" xfId="5" applyFont="1" applyFill="1" applyBorder="1" applyAlignment="1" applyProtection="1">
      <alignment horizontal="center" vertical="center" wrapText="1"/>
      <protection hidden="1"/>
    </xf>
    <xf numFmtId="0" fontId="19" fillId="37" borderId="17" xfId="5" applyFont="1" applyFill="1" applyBorder="1" applyAlignment="1" applyProtection="1">
      <alignment horizontal="center" vertical="center" wrapText="1"/>
      <protection hidden="1"/>
    </xf>
    <xf numFmtId="0" fontId="19" fillId="34" borderId="12" xfId="5" applyFont="1" applyFill="1" applyBorder="1" applyAlignment="1" applyProtection="1">
      <alignment horizontal="center" vertical="center" wrapText="1"/>
      <protection hidden="1"/>
    </xf>
    <xf numFmtId="0" fontId="19" fillId="34" borderId="13" xfId="5" applyFont="1" applyFill="1" applyBorder="1" applyAlignment="1" applyProtection="1">
      <alignment horizontal="center" vertical="center" wrapText="1"/>
      <protection hidden="1"/>
    </xf>
    <xf numFmtId="0" fontId="19" fillId="34" borderId="14" xfId="5" applyFont="1" applyFill="1" applyBorder="1" applyAlignment="1" applyProtection="1">
      <alignment horizontal="center" vertical="center" wrapText="1"/>
      <protection hidden="1"/>
    </xf>
    <xf numFmtId="0" fontId="19" fillId="34" borderId="16" xfId="5" applyFont="1" applyFill="1" applyBorder="1" applyAlignment="1" applyProtection="1">
      <alignment horizontal="center" vertical="center" wrapText="1"/>
      <protection hidden="1"/>
    </xf>
    <xf numFmtId="0" fontId="19" fillId="34" borderId="0" xfId="5" applyFont="1" applyFill="1" applyBorder="1" applyAlignment="1" applyProtection="1">
      <alignment horizontal="center" vertical="center" wrapText="1"/>
      <protection hidden="1"/>
    </xf>
    <xf numFmtId="0" fontId="19" fillId="34" borderId="17" xfId="5" applyFont="1" applyFill="1" applyBorder="1" applyAlignment="1" applyProtection="1">
      <alignment horizontal="center" vertical="center" wrapText="1"/>
      <protection hidden="1"/>
    </xf>
    <xf numFmtId="0" fontId="19" fillId="13" borderId="12" xfId="5" applyFont="1" applyFill="1" applyBorder="1" applyAlignment="1" applyProtection="1">
      <alignment horizontal="center" vertical="center" wrapText="1"/>
      <protection hidden="1"/>
    </xf>
    <xf numFmtId="0" fontId="19" fillId="13" borderId="13" xfId="5" applyFont="1" applyFill="1" applyBorder="1" applyAlignment="1" applyProtection="1">
      <alignment horizontal="center" vertical="center" wrapText="1"/>
      <protection hidden="1"/>
    </xf>
    <xf numFmtId="0" fontId="19" fillId="13" borderId="14" xfId="5" applyFont="1" applyFill="1" applyBorder="1" applyAlignment="1" applyProtection="1">
      <alignment horizontal="center" vertical="center" wrapText="1"/>
      <protection hidden="1"/>
    </xf>
    <xf numFmtId="0" fontId="19" fillId="13" borderId="16" xfId="5" applyFont="1" applyFill="1" applyBorder="1" applyAlignment="1" applyProtection="1">
      <alignment horizontal="center" vertical="center" wrapText="1"/>
      <protection hidden="1"/>
    </xf>
    <xf numFmtId="0" fontId="19" fillId="13" borderId="0" xfId="5" applyFont="1" applyFill="1" applyBorder="1" applyAlignment="1" applyProtection="1">
      <alignment horizontal="center" vertical="center" wrapText="1"/>
      <protection hidden="1"/>
    </xf>
    <xf numFmtId="0" fontId="19" fillId="13" borderId="17" xfId="5" applyFont="1" applyFill="1" applyBorder="1" applyAlignment="1" applyProtection="1">
      <alignment horizontal="center" vertical="center" wrapText="1"/>
      <protection hidden="1"/>
    </xf>
    <xf numFmtId="0" fontId="19" fillId="14" borderId="12" xfId="5" applyFont="1" applyFill="1" applyBorder="1" applyAlignment="1" applyProtection="1">
      <alignment horizontal="center"/>
      <protection hidden="1"/>
    </xf>
    <xf numFmtId="0" fontId="19" fillId="14" borderId="13" xfId="5" applyFont="1" applyFill="1" applyBorder="1" applyAlignment="1" applyProtection="1">
      <alignment horizontal="center"/>
      <protection hidden="1"/>
    </xf>
    <xf numFmtId="0" fontId="19" fillId="14" borderId="14" xfId="5" applyFont="1" applyFill="1" applyBorder="1" applyAlignment="1" applyProtection="1">
      <alignment horizontal="center"/>
      <protection hidden="1"/>
    </xf>
    <xf numFmtId="0" fontId="19" fillId="14" borderId="16" xfId="5" applyFont="1" applyFill="1" applyBorder="1" applyAlignment="1" applyProtection="1">
      <alignment horizontal="center"/>
      <protection hidden="1"/>
    </xf>
    <xf numFmtId="0" fontId="19" fillId="14" borderId="0" xfId="5" applyFont="1" applyFill="1" applyBorder="1" applyAlignment="1" applyProtection="1">
      <alignment horizontal="center"/>
      <protection hidden="1"/>
    </xf>
    <xf numFmtId="0" fontId="19" fillId="14" borderId="17" xfId="5" applyFont="1" applyFill="1" applyBorder="1" applyAlignment="1" applyProtection="1">
      <alignment horizontal="center"/>
      <protection hidden="1"/>
    </xf>
    <xf numFmtId="0" fontId="19" fillId="14" borderId="10" xfId="5" applyFont="1" applyFill="1" applyBorder="1" applyAlignment="1" applyProtection="1">
      <alignment horizontal="center"/>
      <protection hidden="1"/>
    </xf>
    <xf numFmtId="0" fontId="19" fillId="14" borderId="9" xfId="5" applyFont="1" applyFill="1" applyBorder="1" applyAlignment="1" applyProtection="1">
      <alignment horizontal="center"/>
      <protection hidden="1"/>
    </xf>
    <xf numFmtId="0" fontId="19" fillId="14" borderId="11" xfId="5" applyFont="1" applyFill="1" applyBorder="1" applyAlignment="1" applyProtection="1">
      <alignment horizontal="center"/>
      <protection hidden="1"/>
    </xf>
    <xf numFmtId="0" fontId="30" fillId="9" borderId="10" xfId="7" applyFont="1" applyFill="1" applyBorder="1" applyAlignment="1" applyProtection="1">
      <alignment horizontal="center" vertical="center" wrapText="1"/>
      <protection hidden="1"/>
    </xf>
    <xf numFmtId="0" fontId="30" fillId="9" borderId="9" xfId="7" applyFont="1" applyFill="1" applyBorder="1" applyAlignment="1" applyProtection="1">
      <alignment horizontal="center" vertical="center" wrapText="1"/>
      <protection hidden="1"/>
    </xf>
    <xf numFmtId="0" fontId="30" fillId="9" borderId="11" xfId="7" applyFont="1" applyFill="1" applyBorder="1" applyAlignment="1" applyProtection="1">
      <alignment horizontal="center" vertical="center" wrapText="1"/>
      <protection hidden="1"/>
    </xf>
    <xf numFmtId="0" fontId="30" fillId="13" borderId="10" xfId="7" applyFont="1" applyFill="1" applyBorder="1" applyAlignment="1" applyProtection="1">
      <alignment horizontal="center" vertical="center" wrapText="1"/>
      <protection hidden="1"/>
    </xf>
    <xf numFmtId="0" fontId="30" fillId="13" borderId="9" xfId="7" applyFont="1" applyFill="1" applyBorder="1" applyAlignment="1" applyProtection="1">
      <alignment horizontal="center" vertical="center" wrapText="1"/>
      <protection hidden="1"/>
    </xf>
    <xf numFmtId="0" fontId="30" fillId="13" borderId="11" xfId="7" applyFont="1" applyFill="1" applyBorder="1" applyAlignment="1" applyProtection="1">
      <alignment horizontal="center" vertical="center" wrapText="1"/>
      <protection hidden="1"/>
    </xf>
    <xf numFmtId="0" fontId="19" fillId="9" borderId="12" xfId="5" applyFont="1" applyFill="1" applyBorder="1" applyAlignment="1" applyProtection="1">
      <alignment horizontal="center" vertical="center" wrapText="1"/>
      <protection hidden="1"/>
    </xf>
    <xf numFmtId="0" fontId="19" fillId="9" borderId="13" xfId="5" applyFont="1" applyFill="1" applyBorder="1" applyAlignment="1" applyProtection="1">
      <alignment horizontal="center" vertical="center" wrapText="1"/>
      <protection hidden="1"/>
    </xf>
    <xf numFmtId="0" fontId="19" fillId="9" borderId="14" xfId="5" applyFont="1" applyFill="1" applyBorder="1" applyAlignment="1" applyProtection="1">
      <alignment horizontal="center" vertical="center" wrapText="1"/>
      <protection hidden="1"/>
    </xf>
    <xf numFmtId="0" fontId="19" fillId="9" borderId="16" xfId="5" applyFont="1" applyFill="1" applyBorder="1" applyAlignment="1" applyProtection="1">
      <alignment horizontal="center" vertical="center" wrapText="1"/>
      <protection hidden="1"/>
    </xf>
    <xf numFmtId="0" fontId="19" fillId="9" borderId="0" xfId="5" applyFont="1" applyFill="1" applyBorder="1" applyAlignment="1" applyProtection="1">
      <alignment horizontal="center" vertical="center" wrapText="1"/>
      <protection hidden="1"/>
    </xf>
    <xf numFmtId="0" fontId="19" fillId="9" borderId="17" xfId="5" applyFont="1" applyFill="1" applyBorder="1" applyAlignment="1" applyProtection="1">
      <alignment horizontal="center" vertical="center" wrapText="1"/>
      <protection hidden="1"/>
    </xf>
    <xf numFmtId="0" fontId="19" fillId="14" borderId="12" xfId="5" applyFont="1" applyFill="1" applyBorder="1" applyAlignment="1" applyProtection="1">
      <alignment horizontal="center" vertical="center" wrapText="1"/>
      <protection hidden="1"/>
    </xf>
    <xf numFmtId="0" fontId="19" fillId="14" borderId="13" xfId="5" applyFont="1" applyFill="1" applyBorder="1" applyAlignment="1" applyProtection="1">
      <alignment horizontal="center" vertical="center" wrapText="1"/>
      <protection hidden="1"/>
    </xf>
    <xf numFmtId="0" fontId="19" fillId="14" borderId="14" xfId="5" applyFont="1" applyFill="1" applyBorder="1" applyAlignment="1" applyProtection="1">
      <alignment horizontal="center" vertical="center" wrapText="1"/>
      <protection hidden="1"/>
    </xf>
    <xf numFmtId="0" fontId="19" fillId="14" borderId="16" xfId="5" applyFont="1" applyFill="1" applyBorder="1" applyAlignment="1" applyProtection="1">
      <alignment horizontal="center" vertical="center" wrapText="1"/>
      <protection hidden="1"/>
    </xf>
    <xf numFmtId="0" fontId="19" fillId="14" borderId="0" xfId="5" applyFont="1" applyFill="1" applyBorder="1" applyAlignment="1" applyProtection="1">
      <alignment horizontal="center" vertical="center" wrapText="1"/>
      <protection hidden="1"/>
    </xf>
    <xf numFmtId="0" fontId="19" fillId="14" borderId="17" xfId="5" applyFont="1" applyFill="1" applyBorder="1" applyAlignment="1" applyProtection="1">
      <alignment horizontal="center" vertical="center" wrapText="1"/>
      <protection hidden="1"/>
    </xf>
    <xf numFmtId="0" fontId="30" fillId="14" borderId="10" xfId="7" applyFont="1" applyFill="1" applyBorder="1" applyAlignment="1" applyProtection="1">
      <alignment horizontal="center" vertical="center" wrapText="1"/>
      <protection hidden="1"/>
    </xf>
    <xf numFmtId="0" fontId="30" fillId="14" borderId="9" xfId="7" applyFont="1" applyFill="1" applyBorder="1" applyAlignment="1" applyProtection="1">
      <alignment horizontal="center" vertical="center" wrapText="1"/>
      <protection hidden="1"/>
    </xf>
    <xf numFmtId="0" fontId="30" fillId="14" borderId="11" xfId="7" applyFont="1" applyFill="1" applyBorder="1" applyAlignment="1" applyProtection="1">
      <alignment horizontal="center" vertical="center" wrapText="1"/>
      <protection hidden="1"/>
    </xf>
    <xf numFmtId="0" fontId="19" fillId="33" borderId="7" xfId="5" applyFont="1" applyFill="1" applyBorder="1" applyAlignment="1" applyProtection="1">
      <alignment horizontal="right" vertical="center" wrapText="1"/>
      <protection hidden="1"/>
    </xf>
    <xf numFmtId="0" fontId="19" fillId="33" borderId="15" xfId="5" applyFont="1" applyFill="1" applyBorder="1" applyAlignment="1" applyProtection="1">
      <alignment horizontal="right" vertical="center" wrapText="1"/>
      <protection hidden="1"/>
    </xf>
    <xf numFmtId="169" fontId="18" fillId="2" borderId="2" xfId="6" applyNumberFormat="1" applyFont="1" applyFill="1" applyBorder="1" applyAlignment="1" applyProtection="1">
      <alignment horizontal="center" vertical="center"/>
      <protection hidden="1"/>
    </xf>
    <xf numFmtId="169" fontId="18" fillId="2" borderId="4" xfId="6" applyNumberFormat="1" applyFont="1" applyFill="1" applyBorder="1" applyAlignment="1" applyProtection="1">
      <alignment horizontal="center" vertical="center"/>
      <protection hidden="1"/>
    </xf>
    <xf numFmtId="169" fontId="18" fillId="2" borderId="5" xfId="6" applyNumberFormat="1" applyFont="1" applyFill="1" applyBorder="1" applyAlignment="1" applyProtection="1">
      <alignment horizontal="center" vertical="center"/>
      <protection hidden="1"/>
    </xf>
    <xf numFmtId="176" fontId="29" fillId="30" borderId="10" xfId="6" applyNumberFormat="1" applyFont="1" applyFill="1" applyBorder="1" applyAlignment="1" applyProtection="1">
      <alignment horizontal="center" vertical="center"/>
      <protection hidden="1"/>
    </xf>
    <xf numFmtId="176" fontId="29" fillId="30" borderId="9" xfId="6" applyNumberFormat="1" applyFont="1" applyFill="1" applyBorder="1" applyAlignment="1" applyProtection="1">
      <alignment horizontal="center" vertical="center"/>
      <protection hidden="1"/>
    </xf>
    <xf numFmtId="176" fontId="29" fillId="30" borderId="11" xfId="6" applyNumberFormat="1" applyFont="1" applyFill="1" applyBorder="1" applyAlignment="1" applyProtection="1">
      <alignment horizontal="center" vertical="center"/>
      <protection hidden="1"/>
    </xf>
    <xf numFmtId="0" fontId="10" fillId="31" borderId="7" xfId="5" applyFont="1" applyFill="1" applyBorder="1" applyAlignment="1" applyProtection="1">
      <alignment horizontal="right" vertical="center"/>
      <protection hidden="1"/>
    </xf>
    <xf numFmtId="0" fontId="10" fillId="31" borderId="15" xfId="5" applyFont="1" applyFill="1" applyBorder="1" applyAlignment="1" applyProtection="1">
      <alignment horizontal="right" vertical="center"/>
      <protection hidden="1"/>
    </xf>
    <xf numFmtId="169" fontId="18" fillId="2" borderId="2" xfId="5" applyNumberFormat="1" applyFont="1" applyFill="1" applyBorder="1" applyAlignment="1" applyProtection="1">
      <alignment horizontal="center" vertical="center"/>
      <protection hidden="1"/>
    </xf>
    <xf numFmtId="169" fontId="18" fillId="2" borderId="4" xfId="5" applyNumberFormat="1" applyFont="1" applyFill="1" applyBorder="1" applyAlignment="1" applyProtection="1">
      <alignment horizontal="center" vertical="center"/>
      <protection hidden="1"/>
    </xf>
    <xf numFmtId="169" fontId="18" fillId="2" borderId="5" xfId="5" applyNumberFormat="1" applyFont="1" applyFill="1" applyBorder="1" applyAlignment="1" applyProtection="1">
      <alignment horizontal="center" vertical="center"/>
      <protection hidden="1"/>
    </xf>
    <xf numFmtId="1" fontId="26" fillId="27" borderId="0" xfId="5" applyNumberFormat="1" applyFont="1" applyFill="1" applyBorder="1" applyAlignment="1" applyProtection="1">
      <alignment horizontal="center" vertical="center"/>
      <protection hidden="1"/>
    </xf>
    <xf numFmtId="0" fontId="13" fillId="2" borderId="9" xfId="5" applyFont="1" applyFill="1" applyBorder="1" applyAlignment="1" applyProtection="1">
      <alignment horizontal="center"/>
      <protection hidden="1"/>
    </xf>
    <xf numFmtId="165" fontId="13" fillId="6" borderId="2" xfId="6" applyNumberFormat="1" applyFont="1" applyFill="1" applyBorder="1" applyAlignment="1" applyProtection="1">
      <alignment horizontal="center" vertical="center" wrapText="1"/>
      <protection hidden="1"/>
    </xf>
    <xf numFmtId="165" fontId="13" fillId="6" borderId="4" xfId="6" applyNumberFormat="1" applyFont="1" applyFill="1" applyBorder="1" applyAlignment="1" applyProtection="1">
      <alignment horizontal="center" vertical="center" wrapText="1"/>
      <protection hidden="1"/>
    </xf>
    <xf numFmtId="165" fontId="13" fillId="6" borderId="5" xfId="6" applyNumberFormat="1" applyFont="1" applyFill="1" applyBorder="1" applyAlignment="1" applyProtection="1">
      <alignment horizontal="center" vertical="center" wrapText="1"/>
      <protection hidden="1"/>
    </xf>
    <xf numFmtId="167" fontId="13" fillId="7" borderId="2" xfId="6" applyNumberFormat="1" applyFont="1" applyFill="1" applyBorder="1" applyAlignment="1" applyProtection="1">
      <alignment horizontal="center" vertical="center"/>
      <protection hidden="1"/>
    </xf>
    <xf numFmtId="167" fontId="13" fillId="7" borderId="4" xfId="6" applyNumberFormat="1" applyFont="1" applyFill="1" applyBorder="1" applyAlignment="1" applyProtection="1">
      <alignment horizontal="center" vertical="center"/>
      <protection hidden="1"/>
    </xf>
    <xf numFmtId="167" fontId="13" fillId="7" borderId="5" xfId="6" applyNumberFormat="1" applyFont="1" applyFill="1" applyBorder="1" applyAlignment="1" applyProtection="1">
      <alignment horizontal="center" vertical="center"/>
      <protection hidden="1"/>
    </xf>
    <xf numFmtId="167" fontId="13" fillId="19" borderId="2" xfId="6" applyNumberFormat="1" applyFont="1" applyFill="1" applyBorder="1" applyAlignment="1" applyProtection="1">
      <alignment horizontal="center" vertical="center"/>
      <protection hidden="1"/>
    </xf>
    <xf numFmtId="167" fontId="13" fillId="19" borderId="4" xfId="6" applyNumberFormat="1" applyFont="1" applyFill="1" applyBorder="1" applyAlignment="1" applyProtection="1">
      <alignment horizontal="center" vertical="center"/>
      <protection hidden="1"/>
    </xf>
    <xf numFmtId="167" fontId="13" fillId="19" borderId="5" xfId="6" applyNumberFormat="1" applyFont="1" applyFill="1" applyBorder="1" applyAlignment="1" applyProtection="1">
      <alignment horizontal="center" vertical="center"/>
      <protection hidden="1"/>
    </xf>
    <xf numFmtId="167" fontId="18" fillId="9" borderId="4" xfId="6" applyNumberFormat="1" applyFont="1" applyFill="1" applyBorder="1" applyAlignment="1" applyProtection="1">
      <alignment horizontal="center" vertical="center"/>
      <protection hidden="1"/>
    </xf>
    <xf numFmtId="167" fontId="18" fillId="9" borderId="5" xfId="6" applyNumberFormat="1" applyFont="1" applyFill="1" applyBorder="1" applyAlignment="1" applyProtection="1">
      <alignment horizontal="center" vertical="center"/>
      <protection hidden="1"/>
    </xf>
    <xf numFmtId="167" fontId="18" fillId="10" borderId="2" xfId="6" applyNumberFormat="1" applyFont="1" applyFill="1" applyBorder="1" applyAlignment="1" applyProtection="1">
      <alignment horizontal="center" vertical="center"/>
      <protection hidden="1"/>
    </xf>
    <xf numFmtId="167" fontId="18" fillId="10" borderId="4" xfId="6" applyNumberFormat="1" applyFont="1" applyFill="1" applyBorder="1" applyAlignment="1" applyProtection="1">
      <alignment horizontal="center" vertical="center"/>
      <protection hidden="1"/>
    </xf>
    <xf numFmtId="167" fontId="18" fillId="10" borderId="5" xfId="6" applyNumberFormat="1" applyFont="1" applyFill="1" applyBorder="1" applyAlignment="1" applyProtection="1">
      <alignment horizontal="center" vertical="center"/>
      <protection hidden="1"/>
    </xf>
    <xf numFmtId="167" fontId="18" fillId="12" borderId="2" xfId="6" applyNumberFormat="1" applyFont="1" applyFill="1" applyBorder="1" applyAlignment="1" applyProtection="1">
      <alignment horizontal="center" vertical="center"/>
      <protection hidden="1"/>
    </xf>
    <xf numFmtId="167" fontId="18" fillId="12" borderId="4" xfId="6" applyNumberFormat="1" applyFont="1" applyFill="1" applyBorder="1" applyAlignment="1" applyProtection="1">
      <alignment horizontal="center" vertical="center"/>
      <protection hidden="1"/>
    </xf>
    <xf numFmtId="167" fontId="18" fillId="12" borderId="5" xfId="6" applyNumberFormat="1" applyFont="1" applyFill="1" applyBorder="1" applyAlignment="1" applyProtection="1">
      <alignment horizontal="center" vertical="center"/>
      <protection hidden="1"/>
    </xf>
    <xf numFmtId="167" fontId="18" fillId="13" borderId="2" xfId="6" applyNumberFormat="1" applyFont="1" applyFill="1" applyBorder="1" applyAlignment="1" applyProtection="1">
      <alignment horizontal="center" vertical="center"/>
      <protection hidden="1"/>
    </xf>
    <xf numFmtId="167" fontId="18" fillId="13" borderId="4" xfId="6" applyNumberFormat="1" applyFont="1" applyFill="1" applyBorder="1" applyAlignment="1" applyProtection="1">
      <alignment horizontal="center" vertical="center"/>
      <protection hidden="1"/>
    </xf>
    <xf numFmtId="0" fontId="13" fillId="14" borderId="2" xfId="5" applyFont="1" applyFill="1" applyBorder="1" applyAlignment="1" applyProtection="1">
      <alignment horizontal="center" vertical="center"/>
      <protection hidden="1"/>
    </xf>
    <xf numFmtId="0" fontId="13" fillId="14" borderId="4" xfId="5" applyFont="1" applyFill="1" applyBorder="1" applyAlignment="1" applyProtection="1">
      <alignment horizontal="center" vertical="center"/>
      <protection hidden="1"/>
    </xf>
    <xf numFmtId="0" fontId="13" fillId="14" borderId="5" xfId="5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right" vertical="center"/>
    </xf>
    <xf numFmtId="0" fontId="0" fillId="2" borderId="6" xfId="0" applyFill="1" applyBorder="1" applyAlignment="1">
      <alignment horizontal="center"/>
    </xf>
    <xf numFmtId="168" fontId="0" fillId="16" borderId="7" xfId="0" applyNumberFormat="1" applyFill="1" applyBorder="1" applyAlignment="1">
      <alignment horizontal="center" vertical="center"/>
    </xf>
    <xf numFmtId="168" fontId="0" fillId="16" borderId="3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81" fontId="10" fillId="16" borderId="2" xfId="0" applyNumberFormat="1" applyFont="1" applyFill="1" applyBorder="1" applyAlignment="1">
      <alignment horizontal="center" vertical="center"/>
    </xf>
    <xf numFmtId="181" fontId="10" fillId="16" borderId="4" xfId="0" applyNumberFormat="1" applyFont="1" applyFill="1" applyBorder="1" applyAlignment="1">
      <alignment horizontal="center" vertical="center"/>
    </xf>
    <xf numFmtId="181" fontId="10" fillId="16" borderId="5" xfId="0" applyNumberFormat="1" applyFont="1" applyFill="1" applyBorder="1" applyAlignment="1">
      <alignment horizontal="center" vertical="center"/>
    </xf>
    <xf numFmtId="166" fontId="0" fillId="16" borderId="7" xfId="0" applyNumberFormat="1" applyFill="1" applyBorder="1" applyAlignment="1">
      <alignment horizontal="center" vertical="center"/>
    </xf>
    <xf numFmtId="166" fontId="0" fillId="16" borderId="3" xfId="0" applyNumberForma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168" fontId="17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2" fontId="0" fillId="16" borderId="7" xfId="0" applyNumberFormat="1" applyFill="1" applyBorder="1" applyAlignment="1">
      <alignment horizontal="center" vertical="center"/>
    </xf>
    <xf numFmtId="172" fontId="0" fillId="16" borderId="3" xfId="0" applyNumberForma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169" fontId="6" fillId="16" borderId="7" xfId="0" applyNumberFormat="1" applyFont="1" applyFill="1" applyBorder="1" applyAlignment="1">
      <alignment horizontal="center" vertical="center"/>
    </xf>
    <xf numFmtId="169" fontId="6" fillId="16" borderId="3" xfId="0" applyNumberFormat="1" applyFont="1" applyFill="1" applyBorder="1" applyAlignment="1">
      <alignment horizontal="center" vertical="center"/>
    </xf>
    <xf numFmtId="165" fontId="0" fillId="16" borderId="7" xfId="0" applyNumberFormat="1" applyFill="1" applyBorder="1" applyAlignment="1">
      <alignment horizontal="center" vertical="center"/>
    </xf>
    <xf numFmtId="165" fontId="0" fillId="16" borderId="3" xfId="0" applyNumberFormat="1" applyFill="1" applyBorder="1" applyAlignment="1">
      <alignment horizontal="center" vertical="center"/>
    </xf>
    <xf numFmtId="0" fontId="19" fillId="2" borderId="0" xfId="0" applyFont="1" applyFill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168" fontId="0" fillId="16" borderId="7" xfId="0" applyNumberFormat="1" applyFill="1" applyBorder="1" applyAlignment="1" applyProtection="1">
      <alignment horizontal="center" vertical="center"/>
      <protection hidden="1"/>
    </xf>
    <xf numFmtId="168" fontId="0" fillId="16" borderId="3" xfId="0" applyNumberFormat="1" applyFill="1" applyBorder="1" applyAlignment="1" applyProtection="1">
      <alignment horizontal="center" vertical="center"/>
      <protection hidden="1"/>
    </xf>
    <xf numFmtId="168" fontId="17" fillId="2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72" fontId="0" fillId="16" borderId="7" xfId="0" applyNumberFormat="1" applyFill="1" applyBorder="1" applyAlignment="1" applyProtection="1">
      <alignment horizontal="center" vertical="center"/>
      <protection hidden="1"/>
    </xf>
    <xf numFmtId="172" fontId="0" fillId="16" borderId="3" xfId="0" applyNumberForma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right" vertical="center"/>
      <protection hidden="1"/>
    </xf>
    <xf numFmtId="169" fontId="6" fillId="16" borderId="7" xfId="0" applyNumberFormat="1" applyFont="1" applyFill="1" applyBorder="1" applyAlignment="1" applyProtection="1">
      <alignment horizontal="center" vertical="center"/>
      <protection hidden="1"/>
    </xf>
    <xf numFmtId="169" fontId="6" fillId="16" borderId="3" xfId="0" applyNumberFormat="1" applyFont="1" applyFill="1" applyBorder="1" applyAlignment="1" applyProtection="1">
      <alignment horizontal="center" vertical="center"/>
      <protection hidden="1"/>
    </xf>
    <xf numFmtId="165" fontId="0" fillId="16" borderId="7" xfId="0" applyNumberFormat="1" applyFill="1" applyBorder="1" applyAlignment="1" applyProtection="1">
      <alignment horizontal="center" vertical="center"/>
      <protection hidden="1"/>
    </xf>
    <xf numFmtId="165" fontId="0" fillId="16" borderId="3" xfId="0" applyNumberFormat="1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/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174" fontId="10" fillId="16" borderId="2" xfId="0" applyNumberFormat="1" applyFont="1" applyFill="1" applyBorder="1" applyAlignment="1" applyProtection="1">
      <alignment horizontal="center" vertical="center"/>
      <protection hidden="1"/>
    </xf>
    <xf numFmtId="174" fontId="10" fillId="16" borderId="4" xfId="0" applyNumberFormat="1" applyFont="1" applyFill="1" applyBorder="1" applyAlignment="1" applyProtection="1">
      <alignment horizontal="center" vertical="center"/>
      <protection hidden="1"/>
    </xf>
    <xf numFmtId="174" fontId="10" fillId="16" borderId="5" xfId="0" applyNumberFormat="1" applyFont="1" applyFill="1" applyBorder="1" applyAlignment="1" applyProtection="1">
      <alignment horizontal="center" vertical="center"/>
      <protection hidden="1"/>
    </xf>
    <xf numFmtId="166" fontId="0" fillId="16" borderId="7" xfId="0" applyNumberFormat="1" applyFill="1" applyBorder="1" applyAlignment="1" applyProtection="1">
      <alignment horizontal="center" vertical="center"/>
      <protection hidden="1"/>
    </xf>
    <xf numFmtId="166" fontId="0" fillId="16" borderId="3" xfId="0" applyNumberFormat="1" applyFill="1" applyBorder="1" applyAlignment="1" applyProtection="1">
      <alignment horizontal="center" vertical="center"/>
      <protection hidden="1"/>
    </xf>
    <xf numFmtId="173" fontId="10" fillId="16" borderId="2" xfId="0" applyNumberFormat="1" applyFont="1" applyFill="1" applyBorder="1" applyAlignment="1" applyProtection="1">
      <alignment horizontal="center" vertical="center"/>
      <protection hidden="1"/>
    </xf>
    <xf numFmtId="173" fontId="10" fillId="16" borderId="4" xfId="0" applyNumberFormat="1" applyFont="1" applyFill="1" applyBorder="1" applyAlignment="1" applyProtection="1">
      <alignment horizontal="center" vertical="center"/>
      <protection hidden="1"/>
    </xf>
    <xf numFmtId="173" fontId="10" fillId="16" borderId="5" xfId="0" applyNumberFormat="1" applyFont="1" applyFill="1" applyBorder="1" applyAlignment="1" applyProtection="1">
      <alignment horizontal="center" vertical="center"/>
      <protection hidden="1"/>
    </xf>
    <xf numFmtId="177" fontId="18" fillId="9" borderId="4" xfId="6" applyNumberFormat="1" applyFont="1" applyFill="1" applyBorder="1" applyAlignment="1" applyProtection="1">
      <alignment horizontal="left" vertical="center"/>
      <protection hidden="1"/>
    </xf>
    <xf numFmtId="177" fontId="18" fillId="9" borderId="5" xfId="6" applyNumberFormat="1" applyFont="1" applyFill="1" applyBorder="1" applyAlignment="1" applyProtection="1">
      <alignment horizontal="left" vertical="center"/>
      <protection hidden="1"/>
    </xf>
    <xf numFmtId="178" fontId="23" fillId="19" borderId="14" xfId="6" applyNumberFormat="1" applyFont="1" applyFill="1" applyBorder="1" applyAlignment="1" applyProtection="1">
      <alignment horizontal="center" vertical="center"/>
      <protection hidden="1"/>
    </xf>
    <xf numFmtId="178" fontId="31" fillId="25" borderId="5" xfId="6" applyNumberFormat="1" applyFont="1" applyFill="1" applyBorder="1" applyAlignment="1" applyProtection="1">
      <alignment horizontal="center" vertical="center"/>
      <protection hidden="1"/>
    </xf>
    <xf numFmtId="178" fontId="23" fillId="23" borderId="5" xfId="6" applyNumberFormat="1" applyFont="1" applyFill="1" applyBorder="1" applyAlignment="1" applyProtection="1">
      <alignment horizontal="center" vertical="center"/>
      <protection hidden="1"/>
    </xf>
    <xf numFmtId="0" fontId="19" fillId="2" borderId="12" xfId="5" applyFont="1" applyFill="1" applyBorder="1" applyAlignment="1" applyProtection="1">
      <alignment horizontal="center" vertical="center" wrapText="1"/>
      <protection hidden="1"/>
    </xf>
    <xf numFmtId="0" fontId="19" fillId="2" borderId="13" xfId="5" applyFont="1" applyFill="1" applyBorder="1" applyAlignment="1" applyProtection="1">
      <alignment horizontal="center" vertical="center" wrapText="1"/>
      <protection hidden="1"/>
    </xf>
    <xf numFmtId="0" fontId="19" fillId="2" borderId="14" xfId="5" applyFont="1" applyFill="1" applyBorder="1" applyAlignment="1" applyProtection="1">
      <alignment horizontal="center" vertical="center" wrapText="1"/>
      <protection hidden="1"/>
    </xf>
    <xf numFmtId="0" fontId="19" fillId="2" borderId="16" xfId="5" applyFont="1" applyFill="1" applyBorder="1" applyAlignment="1" applyProtection="1">
      <alignment horizontal="center" vertical="center" wrapText="1"/>
      <protection hidden="1"/>
    </xf>
    <xf numFmtId="0" fontId="19" fillId="2" borderId="0" xfId="5" applyFont="1" applyFill="1" applyBorder="1" applyAlignment="1" applyProtection="1">
      <alignment horizontal="center" vertical="center" wrapText="1"/>
      <protection hidden="1"/>
    </xf>
    <xf numFmtId="0" fontId="19" fillId="2" borderId="17" xfId="5" applyFont="1" applyFill="1" applyBorder="1" applyAlignment="1" applyProtection="1">
      <alignment horizontal="center" vertical="center" wrapText="1"/>
      <protection hidden="1"/>
    </xf>
    <xf numFmtId="178" fontId="23" fillId="19" borderId="2" xfId="6" applyNumberFormat="1" applyFont="1" applyFill="1" applyBorder="1" applyAlignment="1" applyProtection="1">
      <alignment horizontal="center" vertical="center"/>
      <protection hidden="1"/>
    </xf>
    <xf numFmtId="178" fontId="23" fillId="19" borderId="4" xfId="6" applyNumberFormat="1" applyFont="1" applyFill="1" applyBorder="1" applyAlignment="1" applyProtection="1">
      <alignment horizontal="center" vertical="center"/>
      <protection hidden="1"/>
    </xf>
    <xf numFmtId="178" fontId="23" fillId="19" borderId="5" xfId="6" applyNumberFormat="1" applyFont="1" applyFill="1" applyBorder="1" applyAlignment="1" applyProtection="1">
      <alignment horizontal="center" vertical="center"/>
      <protection hidden="1"/>
    </xf>
    <xf numFmtId="178" fontId="31" fillId="25" borderId="2" xfId="6" applyNumberFormat="1" applyFont="1" applyFill="1" applyBorder="1" applyAlignment="1" applyProtection="1">
      <alignment horizontal="center" vertical="center"/>
      <protection hidden="1"/>
    </xf>
    <xf numFmtId="178" fontId="23" fillId="23" borderId="12" xfId="6" applyNumberFormat="1" applyFont="1" applyFill="1" applyBorder="1" applyAlignment="1" applyProtection="1">
      <alignment horizontal="center" vertical="center"/>
      <protection hidden="1"/>
    </xf>
    <xf numFmtId="178" fontId="23" fillId="23" borderId="13" xfId="6" applyNumberFormat="1" applyFont="1" applyFill="1" applyBorder="1" applyAlignment="1" applyProtection="1">
      <alignment horizontal="center" vertical="center"/>
      <protection hidden="1"/>
    </xf>
    <xf numFmtId="178" fontId="23" fillId="23" borderId="14" xfId="6" applyNumberFormat="1" applyFont="1" applyFill="1" applyBorder="1" applyAlignment="1" applyProtection="1">
      <alignment horizontal="center" vertical="center"/>
      <protection hidden="1"/>
    </xf>
    <xf numFmtId="177" fontId="13" fillId="34" borderId="4" xfId="6" applyNumberFormat="1" applyFont="1" applyFill="1" applyBorder="1" applyAlignment="1" applyProtection="1">
      <alignment horizontal="left" vertical="center"/>
      <protection hidden="1"/>
    </xf>
    <xf numFmtId="177" fontId="13" fillId="34" borderId="5" xfId="6" applyNumberFormat="1" applyFont="1" applyFill="1" applyBorder="1" applyAlignment="1" applyProtection="1">
      <alignment horizontal="left" vertical="center"/>
      <protection hidden="1"/>
    </xf>
    <xf numFmtId="177" fontId="18" fillId="12" borderId="4" xfId="6" applyNumberFormat="1" applyFont="1" applyFill="1" applyBorder="1" applyAlignment="1" applyProtection="1">
      <alignment horizontal="left" vertical="center"/>
      <protection hidden="1"/>
    </xf>
    <xf numFmtId="177" fontId="18" fillId="12" borderId="5" xfId="6" applyNumberFormat="1" applyFont="1" applyFill="1" applyBorder="1" applyAlignment="1" applyProtection="1">
      <alignment horizontal="left" vertical="center"/>
      <protection hidden="1"/>
    </xf>
    <xf numFmtId="177" fontId="18" fillId="13" borderId="4" xfId="6" applyNumberFormat="1" applyFont="1" applyFill="1" applyBorder="1" applyAlignment="1" applyProtection="1">
      <alignment horizontal="left" vertical="center"/>
      <protection hidden="1"/>
    </xf>
    <xf numFmtId="177" fontId="18" fillId="13" borderId="5" xfId="6" applyNumberFormat="1" applyFont="1" applyFill="1" applyBorder="1" applyAlignment="1" applyProtection="1">
      <alignment horizontal="left" vertical="center"/>
      <protection hidden="1"/>
    </xf>
    <xf numFmtId="9" fontId="6" fillId="39" borderId="12" xfId="5" applyNumberFormat="1" applyFont="1" applyFill="1" applyBorder="1" applyAlignment="1" applyProtection="1">
      <alignment horizontal="center" vertical="center" wrapText="1"/>
      <protection hidden="1"/>
    </xf>
    <xf numFmtId="9" fontId="6" fillId="39" borderId="13" xfId="5" applyNumberFormat="1" applyFont="1" applyFill="1" applyBorder="1" applyAlignment="1" applyProtection="1">
      <alignment horizontal="center" vertical="center" wrapText="1"/>
      <protection hidden="1"/>
    </xf>
    <xf numFmtId="9" fontId="6" fillId="39" borderId="14" xfId="5" applyNumberFormat="1" applyFont="1" applyFill="1" applyBorder="1" applyAlignment="1" applyProtection="1">
      <alignment horizontal="center" vertical="center" wrapText="1"/>
      <protection hidden="1"/>
    </xf>
    <xf numFmtId="0" fontId="19" fillId="39" borderId="2" xfId="5" applyFont="1" applyFill="1" applyBorder="1" applyAlignment="1" applyProtection="1">
      <alignment horizontal="center" vertical="center" wrapText="1"/>
      <protection hidden="1"/>
    </xf>
    <xf numFmtId="0" fontId="19" fillId="39" borderId="4" xfId="5" applyFont="1" applyFill="1" applyBorder="1" applyAlignment="1" applyProtection="1">
      <alignment horizontal="center" vertical="center" wrapText="1"/>
      <protection hidden="1"/>
    </xf>
    <xf numFmtId="0" fontId="19" fillId="39" borderId="5" xfId="5" applyFont="1" applyFill="1" applyBorder="1" applyAlignment="1" applyProtection="1">
      <alignment horizontal="center" vertical="center" wrapText="1"/>
      <protection hidden="1"/>
    </xf>
    <xf numFmtId="177" fontId="13" fillId="14" borderId="4" xfId="6" applyNumberFormat="1" applyFont="1" applyFill="1" applyBorder="1" applyAlignment="1" applyProtection="1">
      <alignment horizontal="left" vertical="center"/>
      <protection hidden="1"/>
    </xf>
    <xf numFmtId="177" fontId="13" fillId="14" borderId="5" xfId="6" applyNumberFormat="1" applyFont="1" applyFill="1" applyBorder="1" applyAlignment="1" applyProtection="1">
      <alignment horizontal="left" vertical="center"/>
      <protection hidden="1"/>
    </xf>
    <xf numFmtId="177" fontId="18" fillId="10" borderId="4" xfId="6" applyNumberFormat="1" applyFont="1" applyFill="1" applyBorder="1" applyAlignment="1" applyProtection="1">
      <alignment horizontal="left" vertical="center"/>
      <protection hidden="1"/>
    </xf>
    <xf numFmtId="177" fontId="18" fillId="10" borderId="5" xfId="6" applyNumberFormat="1" applyFont="1" applyFill="1" applyBorder="1" applyAlignment="1" applyProtection="1">
      <alignment horizontal="left" vertical="center"/>
      <protection hidden="1"/>
    </xf>
    <xf numFmtId="0" fontId="19" fillId="2" borderId="0" xfId="5" applyFont="1" applyFill="1" applyBorder="1" applyAlignment="1" applyProtection="1">
      <alignment horizontal="right"/>
      <protection hidden="1"/>
    </xf>
    <xf numFmtId="0" fontId="32" fillId="2" borderId="0" xfId="5" applyFont="1" applyFill="1" applyBorder="1" applyAlignment="1" applyProtection="1">
      <alignment horizontal="center"/>
      <protection hidden="1"/>
    </xf>
    <xf numFmtId="177" fontId="13" fillId="6" borderId="4" xfId="6" applyNumberFormat="1" applyFont="1" applyFill="1" applyBorder="1" applyAlignment="1" applyProtection="1">
      <alignment horizontal="left" vertical="center"/>
      <protection hidden="1"/>
    </xf>
    <xf numFmtId="177" fontId="13" fillId="6" borderId="5" xfId="6" applyNumberFormat="1" applyFont="1" applyFill="1" applyBorder="1" applyAlignment="1" applyProtection="1">
      <alignment horizontal="left" vertical="center"/>
      <protection hidden="1"/>
    </xf>
    <xf numFmtId="0" fontId="19" fillId="2" borderId="0" xfId="5" applyFont="1" applyFill="1" applyAlignment="1" applyProtection="1">
      <alignment horizontal="right"/>
      <protection hidden="1"/>
    </xf>
    <xf numFmtId="0" fontId="32" fillId="2" borderId="0" xfId="5" applyFont="1" applyFill="1" applyAlignment="1" applyProtection="1">
      <alignment horizontal="center"/>
      <protection hidden="1"/>
    </xf>
    <xf numFmtId="177" fontId="13" fillId="7" borderId="4" xfId="6" applyNumberFormat="1" applyFont="1" applyFill="1" applyBorder="1" applyAlignment="1" applyProtection="1">
      <alignment horizontal="left" vertical="center"/>
      <protection hidden="1"/>
    </xf>
    <xf numFmtId="177" fontId="13" fillId="7" borderId="5" xfId="6" applyNumberFormat="1" applyFont="1" applyFill="1" applyBorder="1" applyAlignment="1" applyProtection="1">
      <alignment horizontal="left" vertical="center"/>
      <protection hidden="1"/>
    </xf>
    <xf numFmtId="0" fontId="19" fillId="2" borderId="2" xfId="5" applyFont="1" applyFill="1" applyBorder="1" applyProtection="1">
      <protection hidden="1"/>
    </xf>
    <xf numFmtId="0" fontId="19" fillId="0" borderId="0" xfId="10" applyFont="1" applyAlignment="1">
      <alignment horizontal="center" vertical="center"/>
    </xf>
    <xf numFmtId="167" fontId="13" fillId="14" borderId="2" xfId="6" applyNumberFormat="1" applyFont="1" applyFill="1" applyBorder="1" applyAlignment="1" applyProtection="1">
      <alignment horizontal="center" vertical="center"/>
      <protection hidden="1"/>
    </xf>
    <xf numFmtId="167" fontId="18" fillId="9" borderId="2" xfId="6" applyNumberFormat="1" applyFont="1" applyFill="1" applyBorder="1" applyAlignment="1" applyProtection="1">
      <alignment horizontal="center" vertical="center"/>
      <protection hidden="1"/>
    </xf>
    <xf numFmtId="167" fontId="13" fillId="34" borderId="2" xfId="6" applyNumberFormat="1" applyFont="1" applyFill="1" applyBorder="1" applyAlignment="1" applyProtection="1">
      <alignment horizontal="center" vertical="center"/>
      <protection hidden="1"/>
    </xf>
    <xf numFmtId="0" fontId="19" fillId="22" borderId="2" xfId="5" applyFont="1" applyFill="1" applyBorder="1" applyProtection="1">
      <protection hidden="1"/>
    </xf>
    <xf numFmtId="0" fontId="19" fillId="22" borderId="1" xfId="5" applyFont="1" applyFill="1" applyBorder="1" applyProtection="1">
      <protection hidden="1"/>
    </xf>
  </cellXfs>
  <cellStyles count="12">
    <cellStyle name="Link" xfId="1" builtinId="8"/>
    <cellStyle name="Link 2" xfId="7"/>
    <cellStyle name="Standard" xfId="0" builtinId="0"/>
    <cellStyle name="Standard 2" xfId="5"/>
    <cellStyle name="Standard 3" xfId="10"/>
    <cellStyle name="Standard 7" xfId="3"/>
    <cellStyle name="Standard 7 2" xfId="8"/>
    <cellStyle name="Standard 7 3" xfId="9"/>
    <cellStyle name="Standard 7 4" xfId="11"/>
    <cellStyle name="Standard_Mappe4" xfId="4"/>
    <cellStyle name="Standard_Mappe4_1" xfId="6"/>
    <cellStyle name="Standard_Universaltabelle Düsen" xfId="2"/>
  </cellStyles>
  <dxfs count="47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9B9B9B"/>
        </patternFill>
      </fill>
    </dxf>
    <dxf>
      <font>
        <color theme="1"/>
      </font>
      <fill>
        <patternFill>
          <bgColor rgb="FFE25303"/>
        </patternFill>
      </fill>
    </dxf>
    <dxf>
      <font>
        <color theme="1"/>
      </font>
      <fill>
        <patternFill>
          <bgColor rgb="FF008351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844C82"/>
        </patternFill>
      </fill>
    </dxf>
    <dxf>
      <fill>
        <patternFill>
          <bgColor rgb="FF004F7C"/>
        </patternFill>
      </fill>
    </dxf>
    <dxf>
      <fill>
        <patternFill>
          <bgColor rgb="FFA72920"/>
        </patternFill>
      </fill>
    </dxf>
    <dxf>
      <fill>
        <patternFill>
          <bgColor rgb="FF5A382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kdf025'!A1"/><Relationship Id="rId13" Type="http://schemas.openxmlformats.org/officeDocument/2006/relationships/hyperlink" Target="#'ldf025'!A1"/><Relationship Id="rId18" Type="http://schemas.openxmlformats.org/officeDocument/2006/relationships/hyperlink" Target="#'lf03'!A1"/><Relationship Id="rId26" Type="http://schemas.openxmlformats.org/officeDocument/2006/relationships/hyperlink" Target="#'kf015 Band'!A1"/><Relationship Id="rId39" Type="http://schemas.openxmlformats.org/officeDocument/2006/relationships/hyperlink" Target="#'04Streifen'!A1"/><Relationship Id="rId3" Type="http://schemas.openxmlformats.org/officeDocument/2006/relationships/image" Target="../media/image3.jpeg"/><Relationship Id="rId21" Type="http://schemas.openxmlformats.org/officeDocument/2006/relationships/hyperlink" Target="#'lf06'!A1"/><Relationship Id="rId34" Type="http://schemas.openxmlformats.org/officeDocument/2006/relationships/image" Target="../media/image7.png"/><Relationship Id="rId42" Type="http://schemas.openxmlformats.org/officeDocument/2006/relationships/hyperlink" Target="#'02Streifen'!A1"/><Relationship Id="rId7" Type="http://schemas.openxmlformats.org/officeDocument/2006/relationships/hyperlink" Target="#'kdf02 50'!A1"/><Relationship Id="rId12" Type="http://schemas.openxmlformats.org/officeDocument/2006/relationships/hyperlink" Target="#'lf025'!A1"/><Relationship Id="rId17" Type="http://schemas.openxmlformats.org/officeDocument/2006/relationships/hyperlink" Target="#'ldf02 50'!A1"/><Relationship Id="rId25" Type="http://schemas.openxmlformats.org/officeDocument/2006/relationships/hyperlink" Target="#'kf01 Band'!A1"/><Relationship Id="rId33" Type="http://schemas.openxmlformats.org/officeDocument/2006/relationships/hyperlink" Target="#Spr&#252;hkanone!A1"/><Relationship Id="rId38" Type="http://schemas.openxmlformats.org/officeDocument/2006/relationships/hyperlink" Target="#'03Streifen'!A1"/><Relationship Id="rId2" Type="http://schemas.openxmlformats.org/officeDocument/2006/relationships/image" Target="../media/image2.jpeg"/><Relationship Id="rId16" Type="http://schemas.openxmlformats.org/officeDocument/2006/relationships/hyperlink" Target="#'kf06'!A1"/><Relationship Id="rId20" Type="http://schemas.openxmlformats.org/officeDocument/2006/relationships/hyperlink" Target="#'lf05'!A1"/><Relationship Id="rId29" Type="http://schemas.openxmlformats.org/officeDocument/2006/relationships/hyperlink" Target="#'kf04 Band'!A1"/><Relationship Id="rId41" Type="http://schemas.openxmlformats.org/officeDocument/2006/relationships/hyperlink" Target="#'025Streifen'!A1"/><Relationship Id="rId1" Type="http://schemas.openxmlformats.org/officeDocument/2006/relationships/image" Target="../media/image1.jpeg"/><Relationship Id="rId6" Type="http://schemas.openxmlformats.org/officeDocument/2006/relationships/hyperlink" Target="#'kdf03'!A1"/><Relationship Id="rId11" Type="http://schemas.openxmlformats.org/officeDocument/2006/relationships/hyperlink" Target="#'kdf06'!A1"/><Relationship Id="rId24" Type="http://schemas.openxmlformats.org/officeDocument/2006/relationships/hyperlink" Target="#'ldf05'!A1"/><Relationship Id="rId32" Type="http://schemas.openxmlformats.org/officeDocument/2006/relationships/image" Target="../media/image6.png"/><Relationship Id="rId37" Type="http://schemas.openxmlformats.org/officeDocument/2006/relationships/image" Target="../media/image9.png"/><Relationship Id="rId40" Type="http://schemas.openxmlformats.org/officeDocument/2006/relationships/hyperlink" Target="#'05Streifen'!A1"/><Relationship Id="rId5" Type="http://schemas.openxmlformats.org/officeDocument/2006/relationships/hyperlink" Target="#'kf03'!A1"/><Relationship Id="rId15" Type="http://schemas.openxmlformats.org/officeDocument/2006/relationships/hyperlink" Target="#'kf05'!A1"/><Relationship Id="rId23" Type="http://schemas.openxmlformats.org/officeDocument/2006/relationships/hyperlink" Target="#'ldf04'!A1"/><Relationship Id="rId28" Type="http://schemas.openxmlformats.org/officeDocument/2006/relationships/hyperlink" Target="#'kf03 Band'!A1"/><Relationship Id="rId36" Type="http://schemas.openxmlformats.org/officeDocument/2006/relationships/image" Target="../media/image8.png"/><Relationship Id="rId10" Type="http://schemas.openxmlformats.org/officeDocument/2006/relationships/hyperlink" Target="#'kdf05'!A1"/><Relationship Id="rId19" Type="http://schemas.openxmlformats.org/officeDocument/2006/relationships/hyperlink" Target="#'lf04'!A1"/><Relationship Id="rId31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hyperlink" Target="#'kdf04'!A1"/><Relationship Id="rId14" Type="http://schemas.openxmlformats.org/officeDocument/2006/relationships/hyperlink" Target="#'kf04'!A1"/><Relationship Id="rId22" Type="http://schemas.openxmlformats.org/officeDocument/2006/relationships/hyperlink" Target="#'ldf03'!A1"/><Relationship Id="rId27" Type="http://schemas.openxmlformats.org/officeDocument/2006/relationships/hyperlink" Target="#'kf02 Band'!A1"/><Relationship Id="rId30" Type="http://schemas.openxmlformats.org/officeDocument/2006/relationships/hyperlink" Target="#'ldf06'!A1"/><Relationship Id="rId35" Type="http://schemas.openxmlformats.org/officeDocument/2006/relationships/hyperlink" Target="#Vertikalgest&#228;nge!A1"/><Relationship Id="rId43" Type="http://schemas.openxmlformats.org/officeDocument/2006/relationships/image" Target="../media/image10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abelle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le1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abelle1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Tabelle1!A1"/><Relationship Id="rId1" Type="http://schemas.openxmlformats.org/officeDocument/2006/relationships/image" Target="../media/image1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abelle1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abelle1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abelle1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Tabelle1!A1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1840083</xdr:colOff>
      <xdr:row>12</xdr:row>
      <xdr:rowOff>108849</xdr:rowOff>
    </xdr:to>
    <xdr:pic>
      <xdr:nvPicPr>
        <xdr:cNvPr id="2" name="Picture 4" descr="DSC_0050_0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clrChange>
            <a:clrFrom>
              <a:srgbClr val="F5EFE3"/>
            </a:clrFrom>
            <a:clrTo>
              <a:srgbClr val="F5EFE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 r="-631"/>
        <a:stretch>
          <a:fillRect/>
        </a:stretch>
      </xdr:blipFill>
      <xdr:spPr bwMode="auto">
        <a:xfrm>
          <a:off x="0" y="3276600"/>
          <a:ext cx="1840083" cy="7946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12</xdr:row>
      <xdr:rowOff>195027</xdr:rowOff>
    </xdr:from>
    <xdr:to>
      <xdr:col>0</xdr:col>
      <xdr:colOff>1840083</xdr:colOff>
      <xdr:row>16</xdr:row>
      <xdr:rowOff>89799</xdr:rowOff>
    </xdr:to>
    <xdr:pic>
      <xdr:nvPicPr>
        <xdr:cNvPr id="3" name="Picture 4" descr="DSC_0050_0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clrChange>
            <a:clrFrom>
              <a:srgbClr val="F5EFE3"/>
            </a:clrFrom>
            <a:clrTo>
              <a:srgbClr val="F5EFE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 r="-631"/>
        <a:stretch>
          <a:fillRect/>
        </a:stretch>
      </xdr:blipFill>
      <xdr:spPr bwMode="auto">
        <a:xfrm>
          <a:off x="0" y="4157427"/>
          <a:ext cx="1840083" cy="8186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66675</xdr:colOff>
      <xdr:row>17</xdr:row>
      <xdr:rowOff>37576</xdr:rowOff>
    </xdr:from>
    <xdr:to>
      <xdr:col>0</xdr:col>
      <xdr:colOff>1885950</xdr:colOff>
      <xdr:row>20</xdr:row>
      <xdr:rowOff>42332</xdr:rowOff>
    </xdr:to>
    <xdr:pic>
      <xdr:nvPicPr>
        <xdr:cNvPr id="4" name="Picture 3" descr="DSC_0048_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clrChange>
            <a:clrFrom>
              <a:srgbClr val="F2ECDE"/>
            </a:clrFrom>
            <a:clrTo>
              <a:srgbClr val="F2ECD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675" y="5162026"/>
          <a:ext cx="1819275" cy="6905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21</xdr:row>
      <xdr:rowOff>51864</xdr:rowOff>
    </xdr:from>
    <xdr:to>
      <xdr:col>0</xdr:col>
      <xdr:colOff>1819275</xdr:colOff>
      <xdr:row>24</xdr:row>
      <xdr:rowOff>56620</xdr:rowOff>
    </xdr:to>
    <xdr:pic>
      <xdr:nvPicPr>
        <xdr:cNvPr id="5" name="Picture 3" descr="DSC_0048_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clrChange>
            <a:clrFrom>
              <a:srgbClr val="F2ECDE"/>
            </a:clrFrom>
            <a:clrTo>
              <a:srgbClr val="F2ECD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6100239"/>
          <a:ext cx="1819275" cy="6905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1989177</xdr:colOff>
      <xdr:row>9</xdr:row>
      <xdr:rowOff>28820</xdr:rowOff>
    </xdr:from>
    <xdr:to>
      <xdr:col>0</xdr:col>
      <xdr:colOff>2866088</xdr:colOff>
      <xdr:row>11</xdr:row>
      <xdr:rowOff>219620</xdr:rowOff>
    </xdr:to>
    <xdr:pic>
      <xdr:nvPicPr>
        <xdr:cNvPr id="6" name="Picture 4" descr="IDK 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89177" y="3305420"/>
          <a:ext cx="876911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2017752</xdr:colOff>
      <xdr:row>17</xdr:row>
      <xdr:rowOff>57395</xdr:rowOff>
    </xdr:from>
    <xdr:to>
      <xdr:col>0</xdr:col>
      <xdr:colOff>2809875</xdr:colOff>
      <xdr:row>19</xdr:row>
      <xdr:rowOff>183850</xdr:rowOff>
    </xdr:to>
    <xdr:pic>
      <xdr:nvPicPr>
        <xdr:cNvPr id="7" name="Picture 4" descr="IDK 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17752" y="5181845"/>
          <a:ext cx="792123" cy="58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1968037</xdr:colOff>
      <xdr:row>13</xdr:row>
      <xdr:rowOff>46228</xdr:rowOff>
    </xdr:from>
    <xdr:to>
      <xdr:col>0</xdr:col>
      <xdr:colOff>2838450</xdr:colOff>
      <xdr:row>15</xdr:row>
      <xdr:rowOff>213971</xdr:rowOff>
    </xdr:to>
    <xdr:pic>
      <xdr:nvPicPr>
        <xdr:cNvPr id="8" name="Picture 5" descr="IDKT 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68037" y="4246753"/>
          <a:ext cx="870413" cy="624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1979943</xdr:colOff>
      <xdr:row>21</xdr:row>
      <xdr:rowOff>46228</xdr:rowOff>
    </xdr:from>
    <xdr:to>
      <xdr:col>0</xdr:col>
      <xdr:colOff>2850356</xdr:colOff>
      <xdr:row>23</xdr:row>
      <xdr:rowOff>213971</xdr:rowOff>
    </xdr:to>
    <xdr:pic>
      <xdr:nvPicPr>
        <xdr:cNvPr id="9" name="Picture 5" descr="IDKT 0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79943" y="6094603"/>
          <a:ext cx="870413" cy="624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47624</xdr:colOff>
      <xdr:row>9</xdr:row>
      <xdr:rowOff>35719</xdr:rowOff>
    </xdr:from>
    <xdr:to>
      <xdr:col>15</xdr:col>
      <xdr:colOff>671999</xdr:colOff>
      <xdr:row>12</xdr:row>
      <xdr:rowOff>185063</xdr:rowOff>
    </xdr:to>
    <xdr:sp macro="" textlink="">
      <xdr:nvSpPr>
        <xdr:cNvPr id="14" name="Rahmen 13">
          <a:hlinkClick xmlns:r="http://schemas.openxmlformats.org/officeDocument/2006/relationships" r:id="rId5"/>
        </xdr:cNvPr>
        <xdr:cNvSpPr/>
      </xdr:nvSpPr>
      <xdr:spPr>
        <a:xfrm>
          <a:off x="12096749" y="3312319"/>
          <a:ext cx="2196000" cy="835144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kurze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13</xdr:col>
      <xdr:colOff>59530</xdr:colOff>
      <xdr:row>13</xdr:row>
      <xdr:rowOff>23813</xdr:rowOff>
    </xdr:from>
    <xdr:to>
      <xdr:col>15</xdr:col>
      <xdr:colOff>683905</xdr:colOff>
      <xdr:row>16</xdr:row>
      <xdr:rowOff>173157</xdr:rowOff>
    </xdr:to>
    <xdr:sp macro="" textlink="">
      <xdr:nvSpPr>
        <xdr:cNvPr id="15" name="Rahmen 14">
          <a:hlinkClick xmlns:r="http://schemas.openxmlformats.org/officeDocument/2006/relationships" r:id="rId6"/>
        </xdr:cNvPr>
        <xdr:cNvSpPr/>
      </xdr:nvSpPr>
      <xdr:spPr>
        <a:xfrm>
          <a:off x="12108655" y="4224338"/>
          <a:ext cx="2196000" cy="835144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7</xdr:col>
      <xdr:colOff>23811</xdr:colOff>
      <xdr:row>13</xdr:row>
      <xdr:rowOff>23813</xdr:rowOff>
    </xdr:from>
    <xdr:to>
      <xdr:col>9</xdr:col>
      <xdr:colOff>695811</xdr:colOff>
      <xdr:row>16</xdr:row>
      <xdr:rowOff>173157</xdr:rowOff>
    </xdr:to>
    <xdr:sp macro="" textlink="">
      <xdr:nvSpPr>
        <xdr:cNvPr id="16" name="Rahmen 15">
          <a:hlinkClick xmlns:r="http://schemas.openxmlformats.org/officeDocument/2006/relationships" r:id="rId7"/>
        </xdr:cNvPr>
        <xdr:cNvSpPr/>
      </xdr:nvSpPr>
      <xdr:spPr>
        <a:xfrm>
          <a:off x="7500936" y="4224338"/>
          <a:ext cx="2196000" cy="835144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10</xdr:col>
      <xdr:colOff>35718</xdr:colOff>
      <xdr:row>13</xdr:row>
      <xdr:rowOff>47625</xdr:rowOff>
    </xdr:from>
    <xdr:to>
      <xdr:col>12</xdr:col>
      <xdr:colOff>707718</xdr:colOff>
      <xdr:row>16</xdr:row>
      <xdr:rowOff>196969</xdr:rowOff>
    </xdr:to>
    <xdr:sp macro="" textlink="">
      <xdr:nvSpPr>
        <xdr:cNvPr id="17" name="Rahmen 16">
          <a:hlinkClick xmlns:r="http://schemas.openxmlformats.org/officeDocument/2006/relationships" r:id="rId8"/>
        </xdr:cNvPr>
        <xdr:cNvSpPr/>
      </xdr:nvSpPr>
      <xdr:spPr>
        <a:xfrm>
          <a:off x="9798843" y="4248150"/>
          <a:ext cx="2196000" cy="835144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16</xdr:col>
      <xdr:colOff>35718</xdr:colOff>
      <xdr:row>13</xdr:row>
      <xdr:rowOff>35719</xdr:rowOff>
    </xdr:from>
    <xdr:to>
      <xdr:col>18</xdr:col>
      <xdr:colOff>707718</xdr:colOff>
      <xdr:row>16</xdr:row>
      <xdr:rowOff>185063</xdr:rowOff>
    </xdr:to>
    <xdr:sp macro="" textlink="">
      <xdr:nvSpPr>
        <xdr:cNvPr id="18" name="Rahmen 17">
          <a:hlinkClick xmlns:r="http://schemas.openxmlformats.org/officeDocument/2006/relationships" r:id="rId9"/>
        </xdr:cNvPr>
        <xdr:cNvSpPr/>
      </xdr:nvSpPr>
      <xdr:spPr>
        <a:xfrm>
          <a:off x="14418468" y="4236244"/>
          <a:ext cx="2196000" cy="835144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19</xdr:col>
      <xdr:colOff>23811</xdr:colOff>
      <xdr:row>13</xdr:row>
      <xdr:rowOff>35719</xdr:rowOff>
    </xdr:from>
    <xdr:to>
      <xdr:col>21</xdr:col>
      <xdr:colOff>695811</xdr:colOff>
      <xdr:row>16</xdr:row>
      <xdr:rowOff>185063</xdr:rowOff>
    </xdr:to>
    <xdr:sp macro="" textlink="">
      <xdr:nvSpPr>
        <xdr:cNvPr id="19" name="Rahmen 18">
          <a:hlinkClick xmlns:r="http://schemas.openxmlformats.org/officeDocument/2006/relationships" r:id="rId10"/>
        </xdr:cNvPr>
        <xdr:cNvSpPr/>
      </xdr:nvSpPr>
      <xdr:spPr>
        <a:xfrm>
          <a:off x="16692561" y="4236244"/>
          <a:ext cx="2196000" cy="835144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22</xdr:col>
      <xdr:colOff>23811</xdr:colOff>
      <xdr:row>13</xdr:row>
      <xdr:rowOff>23813</xdr:rowOff>
    </xdr:from>
    <xdr:to>
      <xdr:col>24</xdr:col>
      <xdr:colOff>695811</xdr:colOff>
      <xdr:row>16</xdr:row>
      <xdr:rowOff>185063</xdr:rowOff>
    </xdr:to>
    <xdr:sp macro="" textlink="">
      <xdr:nvSpPr>
        <xdr:cNvPr id="20" name="Rahmen 19">
          <a:hlinkClick xmlns:r="http://schemas.openxmlformats.org/officeDocument/2006/relationships" r:id="rId11"/>
        </xdr:cNvPr>
        <xdr:cNvSpPr/>
      </xdr:nvSpPr>
      <xdr:spPr>
        <a:xfrm>
          <a:off x="18978561" y="4224338"/>
          <a:ext cx="2196000" cy="847050"/>
        </a:xfrm>
        <a:prstGeom prst="bevel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kurze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10</xdr:col>
      <xdr:colOff>35718</xdr:colOff>
      <xdr:row>17</xdr:row>
      <xdr:rowOff>0</xdr:rowOff>
    </xdr:from>
    <xdr:to>
      <xdr:col>12</xdr:col>
      <xdr:colOff>707718</xdr:colOff>
      <xdr:row>20</xdr:row>
      <xdr:rowOff>149343</xdr:rowOff>
    </xdr:to>
    <xdr:sp macro="" textlink="">
      <xdr:nvSpPr>
        <xdr:cNvPr id="21" name="Rahmen 20">
          <a:hlinkClick xmlns:r="http://schemas.openxmlformats.org/officeDocument/2006/relationships" r:id="rId12"/>
        </xdr:cNvPr>
        <xdr:cNvSpPr/>
      </xdr:nvSpPr>
      <xdr:spPr>
        <a:xfrm>
          <a:off x="9798843" y="5124450"/>
          <a:ext cx="2196000" cy="835143"/>
        </a:xfrm>
        <a:prstGeom prst="bevel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lange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10</xdr:col>
      <xdr:colOff>23812</xdr:colOff>
      <xdr:row>21</xdr:row>
      <xdr:rowOff>23813</xdr:rowOff>
    </xdr:from>
    <xdr:to>
      <xdr:col>12</xdr:col>
      <xdr:colOff>695812</xdr:colOff>
      <xdr:row>24</xdr:row>
      <xdr:rowOff>173157</xdr:rowOff>
    </xdr:to>
    <xdr:sp macro="" textlink="">
      <xdr:nvSpPr>
        <xdr:cNvPr id="22" name="Rahmen 21">
          <a:hlinkClick xmlns:r="http://schemas.openxmlformats.org/officeDocument/2006/relationships" r:id="rId13"/>
        </xdr:cNvPr>
        <xdr:cNvSpPr/>
      </xdr:nvSpPr>
      <xdr:spPr>
        <a:xfrm>
          <a:off x="9786937" y="6072188"/>
          <a:ext cx="2196000" cy="835144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16</xdr:col>
      <xdr:colOff>35717</xdr:colOff>
      <xdr:row>9</xdr:row>
      <xdr:rowOff>23813</xdr:rowOff>
    </xdr:from>
    <xdr:to>
      <xdr:col>18</xdr:col>
      <xdr:colOff>707717</xdr:colOff>
      <xdr:row>12</xdr:row>
      <xdr:rowOff>173157</xdr:rowOff>
    </xdr:to>
    <xdr:sp macro="" textlink="">
      <xdr:nvSpPr>
        <xdr:cNvPr id="23" name="Rahmen 22">
          <a:hlinkClick xmlns:r="http://schemas.openxmlformats.org/officeDocument/2006/relationships" r:id="rId14"/>
        </xdr:cNvPr>
        <xdr:cNvSpPr/>
      </xdr:nvSpPr>
      <xdr:spPr>
        <a:xfrm>
          <a:off x="14418467" y="3300413"/>
          <a:ext cx="2196000" cy="835144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kurze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19</xdr:col>
      <xdr:colOff>11905</xdr:colOff>
      <xdr:row>9</xdr:row>
      <xdr:rowOff>23813</xdr:rowOff>
    </xdr:from>
    <xdr:to>
      <xdr:col>21</xdr:col>
      <xdr:colOff>683905</xdr:colOff>
      <xdr:row>12</xdr:row>
      <xdr:rowOff>173157</xdr:rowOff>
    </xdr:to>
    <xdr:sp macro="" textlink="">
      <xdr:nvSpPr>
        <xdr:cNvPr id="24" name="Rahmen 23">
          <a:hlinkClick xmlns:r="http://schemas.openxmlformats.org/officeDocument/2006/relationships" r:id="rId15"/>
        </xdr:cNvPr>
        <xdr:cNvSpPr/>
      </xdr:nvSpPr>
      <xdr:spPr>
        <a:xfrm>
          <a:off x="16680655" y="3300413"/>
          <a:ext cx="2196000" cy="835144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kurze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22</xdr:col>
      <xdr:colOff>35717</xdr:colOff>
      <xdr:row>9</xdr:row>
      <xdr:rowOff>35719</xdr:rowOff>
    </xdr:from>
    <xdr:to>
      <xdr:col>24</xdr:col>
      <xdr:colOff>707717</xdr:colOff>
      <xdr:row>12</xdr:row>
      <xdr:rowOff>196969</xdr:rowOff>
    </xdr:to>
    <xdr:sp macro="" textlink="">
      <xdr:nvSpPr>
        <xdr:cNvPr id="25" name="Rahmen 24">
          <a:hlinkClick xmlns:r="http://schemas.openxmlformats.org/officeDocument/2006/relationships" r:id="rId16"/>
        </xdr:cNvPr>
        <xdr:cNvSpPr/>
      </xdr:nvSpPr>
      <xdr:spPr>
        <a:xfrm>
          <a:off x="18990467" y="3312319"/>
          <a:ext cx="2196000" cy="847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kurze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7</xdr:col>
      <xdr:colOff>23812</xdr:colOff>
      <xdr:row>21</xdr:row>
      <xdr:rowOff>11906</xdr:rowOff>
    </xdr:from>
    <xdr:to>
      <xdr:col>9</xdr:col>
      <xdr:colOff>695812</xdr:colOff>
      <xdr:row>24</xdr:row>
      <xdr:rowOff>161250</xdr:rowOff>
    </xdr:to>
    <xdr:sp macro="" textlink="">
      <xdr:nvSpPr>
        <xdr:cNvPr id="26" name="Rahmen 25">
          <a:hlinkClick xmlns:r="http://schemas.openxmlformats.org/officeDocument/2006/relationships" r:id="rId17"/>
        </xdr:cNvPr>
        <xdr:cNvSpPr/>
      </xdr:nvSpPr>
      <xdr:spPr>
        <a:xfrm>
          <a:off x="7500937" y="6060281"/>
          <a:ext cx="2196000" cy="835144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13</xdr:col>
      <xdr:colOff>35718</xdr:colOff>
      <xdr:row>17</xdr:row>
      <xdr:rowOff>35719</xdr:rowOff>
    </xdr:from>
    <xdr:to>
      <xdr:col>15</xdr:col>
      <xdr:colOff>660093</xdr:colOff>
      <xdr:row>20</xdr:row>
      <xdr:rowOff>185062</xdr:rowOff>
    </xdr:to>
    <xdr:sp macro="" textlink="">
      <xdr:nvSpPr>
        <xdr:cNvPr id="27" name="Rahmen 26">
          <a:hlinkClick xmlns:r="http://schemas.openxmlformats.org/officeDocument/2006/relationships" r:id="rId18"/>
        </xdr:cNvPr>
        <xdr:cNvSpPr/>
      </xdr:nvSpPr>
      <xdr:spPr>
        <a:xfrm>
          <a:off x="12084843" y="5160169"/>
          <a:ext cx="2196000" cy="835143"/>
        </a:xfrm>
        <a:prstGeom prst="bevel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lange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16</xdr:col>
      <xdr:colOff>47624</xdr:colOff>
      <xdr:row>17</xdr:row>
      <xdr:rowOff>47625</xdr:rowOff>
    </xdr:from>
    <xdr:to>
      <xdr:col>18</xdr:col>
      <xdr:colOff>719624</xdr:colOff>
      <xdr:row>20</xdr:row>
      <xdr:rowOff>196968</xdr:rowOff>
    </xdr:to>
    <xdr:sp macro="" textlink="">
      <xdr:nvSpPr>
        <xdr:cNvPr id="28" name="Rahmen 27">
          <a:hlinkClick xmlns:r="http://schemas.openxmlformats.org/officeDocument/2006/relationships" r:id="rId19"/>
        </xdr:cNvPr>
        <xdr:cNvSpPr/>
      </xdr:nvSpPr>
      <xdr:spPr>
        <a:xfrm>
          <a:off x="14430374" y="5172075"/>
          <a:ext cx="2196000" cy="835143"/>
        </a:xfrm>
        <a:prstGeom prst="bevel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lange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19</xdr:col>
      <xdr:colOff>47624</xdr:colOff>
      <xdr:row>17</xdr:row>
      <xdr:rowOff>35718</xdr:rowOff>
    </xdr:from>
    <xdr:to>
      <xdr:col>21</xdr:col>
      <xdr:colOff>719624</xdr:colOff>
      <xdr:row>20</xdr:row>
      <xdr:rowOff>185061</xdr:rowOff>
    </xdr:to>
    <xdr:sp macro="" textlink="">
      <xdr:nvSpPr>
        <xdr:cNvPr id="29" name="Rahmen 28">
          <a:hlinkClick xmlns:r="http://schemas.openxmlformats.org/officeDocument/2006/relationships" r:id="rId20"/>
        </xdr:cNvPr>
        <xdr:cNvSpPr/>
      </xdr:nvSpPr>
      <xdr:spPr>
        <a:xfrm>
          <a:off x="16716374" y="5160168"/>
          <a:ext cx="2196000" cy="835143"/>
        </a:xfrm>
        <a:prstGeom prst="bevel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lange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22</xdr:col>
      <xdr:colOff>47624</xdr:colOff>
      <xdr:row>17</xdr:row>
      <xdr:rowOff>47625</xdr:rowOff>
    </xdr:from>
    <xdr:to>
      <xdr:col>24</xdr:col>
      <xdr:colOff>719624</xdr:colOff>
      <xdr:row>20</xdr:row>
      <xdr:rowOff>208875</xdr:rowOff>
    </xdr:to>
    <xdr:sp macro="" textlink="">
      <xdr:nvSpPr>
        <xdr:cNvPr id="30" name="Rahmen 29">
          <a:hlinkClick xmlns:r="http://schemas.openxmlformats.org/officeDocument/2006/relationships" r:id="rId21"/>
        </xdr:cNvPr>
        <xdr:cNvSpPr/>
      </xdr:nvSpPr>
      <xdr:spPr>
        <a:xfrm>
          <a:off x="19002374" y="5172075"/>
          <a:ext cx="2196000" cy="847050"/>
        </a:xfrm>
        <a:prstGeom prst="bevel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>
              <a:solidFill>
                <a:schemeClr val="tx1"/>
              </a:solidFill>
            </a:rPr>
            <a:t>lange Flachstrahl</a:t>
          </a:r>
          <a:br>
            <a:rPr lang="de-DE" sz="1600">
              <a:solidFill>
                <a:schemeClr val="tx1"/>
              </a:solidFill>
            </a:rPr>
          </a:br>
          <a:r>
            <a:rPr lang="de-DE" sz="1600">
              <a:solidFill>
                <a:schemeClr val="tx1"/>
              </a:solidFill>
            </a:rPr>
            <a:t>- zu den Düsen -</a:t>
          </a:r>
        </a:p>
      </xdr:txBody>
    </xdr:sp>
    <xdr:clientData/>
  </xdr:twoCellAnchor>
  <xdr:twoCellAnchor>
    <xdr:from>
      <xdr:col>13</xdr:col>
      <xdr:colOff>47625</xdr:colOff>
      <xdr:row>21</xdr:row>
      <xdr:rowOff>47626</xdr:rowOff>
    </xdr:from>
    <xdr:to>
      <xdr:col>15</xdr:col>
      <xdr:colOff>672000</xdr:colOff>
      <xdr:row>24</xdr:row>
      <xdr:rowOff>196970</xdr:rowOff>
    </xdr:to>
    <xdr:sp macro="" textlink="">
      <xdr:nvSpPr>
        <xdr:cNvPr id="31" name="Rahmen 30">
          <a:hlinkClick xmlns:r="http://schemas.openxmlformats.org/officeDocument/2006/relationships" r:id="rId22"/>
        </xdr:cNvPr>
        <xdr:cNvSpPr/>
      </xdr:nvSpPr>
      <xdr:spPr>
        <a:xfrm>
          <a:off x="12096750" y="6096001"/>
          <a:ext cx="2196000" cy="835144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16</xdr:col>
      <xdr:colOff>47625</xdr:colOff>
      <xdr:row>21</xdr:row>
      <xdr:rowOff>47626</xdr:rowOff>
    </xdr:from>
    <xdr:to>
      <xdr:col>18</xdr:col>
      <xdr:colOff>719625</xdr:colOff>
      <xdr:row>24</xdr:row>
      <xdr:rowOff>196970</xdr:rowOff>
    </xdr:to>
    <xdr:sp macro="" textlink="">
      <xdr:nvSpPr>
        <xdr:cNvPr id="32" name="Rahmen 31">
          <a:hlinkClick xmlns:r="http://schemas.openxmlformats.org/officeDocument/2006/relationships" r:id="rId23"/>
        </xdr:cNvPr>
        <xdr:cNvSpPr/>
      </xdr:nvSpPr>
      <xdr:spPr>
        <a:xfrm>
          <a:off x="14430375" y="6096001"/>
          <a:ext cx="2196000" cy="835144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19</xdr:col>
      <xdr:colOff>35719</xdr:colOff>
      <xdr:row>21</xdr:row>
      <xdr:rowOff>47626</xdr:rowOff>
    </xdr:from>
    <xdr:to>
      <xdr:col>21</xdr:col>
      <xdr:colOff>707719</xdr:colOff>
      <xdr:row>24</xdr:row>
      <xdr:rowOff>196970</xdr:rowOff>
    </xdr:to>
    <xdr:sp macro="" textlink="">
      <xdr:nvSpPr>
        <xdr:cNvPr id="33" name="Rahmen 32">
          <a:hlinkClick xmlns:r="http://schemas.openxmlformats.org/officeDocument/2006/relationships" r:id="rId24"/>
        </xdr:cNvPr>
        <xdr:cNvSpPr/>
      </xdr:nvSpPr>
      <xdr:spPr>
        <a:xfrm>
          <a:off x="16704469" y="6096001"/>
          <a:ext cx="2196000" cy="835144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twoCellAnchor>
    <xdr:from>
      <xdr:col>1</xdr:col>
      <xdr:colOff>23810</xdr:colOff>
      <xdr:row>25</xdr:row>
      <xdr:rowOff>59531</xdr:rowOff>
    </xdr:from>
    <xdr:to>
      <xdr:col>3</xdr:col>
      <xdr:colOff>695810</xdr:colOff>
      <xdr:row>28</xdr:row>
      <xdr:rowOff>220781</xdr:rowOff>
    </xdr:to>
    <xdr:sp macro="" textlink="">
      <xdr:nvSpPr>
        <xdr:cNvPr id="37" name="Rahmen 36">
          <a:hlinkClick xmlns:r="http://schemas.openxmlformats.org/officeDocument/2006/relationships" r:id="rId25"/>
        </xdr:cNvPr>
        <xdr:cNvSpPr/>
      </xdr:nvSpPr>
      <xdr:spPr>
        <a:xfrm>
          <a:off x="2928935" y="8432006"/>
          <a:ext cx="2196000" cy="847050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Bandspritzung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4</xdr:col>
      <xdr:colOff>47622</xdr:colOff>
      <xdr:row>25</xdr:row>
      <xdr:rowOff>59531</xdr:rowOff>
    </xdr:from>
    <xdr:to>
      <xdr:col>6</xdr:col>
      <xdr:colOff>719622</xdr:colOff>
      <xdr:row>28</xdr:row>
      <xdr:rowOff>220781</xdr:rowOff>
    </xdr:to>
    <xdr:sp macro="" textlink="">
      <xdr:nvSpPr>
        <xdr:cNvPr id="38" name="Rahmen 37">
          <a:hlinkClick xmlns:r="http://schemas.openxmlformats.org/officeDocument/2006/relationships" r:id="rId26"/>
        </xdr:cNvPr>
        <xdr:cNvSpPr/>
      </xdr:nvSpPr>
      <xdr:spPr>
        <a:xfrm>
          <a:off x="5238747" y="8432006"/>
          <a:ext cx="2196000" cy="847050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Bandspritzung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7</xdr:col>
      <xdr:colOff>23810</xdr:colOff>
      <xdr:row>25</xdr:row>
      <xdr:rowOff>47625</xdr:rowOff>
    </xdr:from>
    <xdr:to>
      <xdr:col>9</xdr:col>
      <xdr:colOff>695810</xdr:colOff>
      <xdr:row>28</xdr:row>
      <xdr:rowOff>208875</xdr:rowOff>
    </xdr:to>
    <xdr:sp macro="" textlink="">
      <xdr:nvSpPr>
        <xdr:cNvPr id="39" name="Rahmen 38">
          <a:hlinkClick xmlns:r="http://schemas.openxmlformats.org/officeDocument/2006/relationships" r:id="rId27"/>
        </xdr:cNvPr>
        <xdr:cNvSpPr/>
      </xdr:nvSpPr>
      <xdr:spPr>
        <a:xfrm>
          <a:off x="7500935" y="8420100"/>
          <a:ext cx="2196000" cy="847050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Bandspritzung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13</xdr:col>
      <xdr:colOff>67466</xdr:colOff>
      <xdr:row>25</xdr:row>
      <xdr:rowOff>31750</xdr:rowOff>
    </xdr:from>
    <xdr:to>
      <xdr:col>15</xdr:col>
      <xdr:colOff>691841</xdr:colOff>
      <xdr:row>28</xdr:row>
      <xdr:rowOff>193000</xdr:rowOff>
    </xdr:to>
    <xdr:sp macro="" textlink="">
      <xdr:nvSpPr>
        <xdr:cNvPr id="40" name="Rahmen 39">
          <a:hlinkClick xmlns:r="http://schemas.openxmlformats.org/officeDocument/2006/relationships" r:id="rId28"/>
        </xdr:cNvPr>
        <xdr:cNvSpPr/>
      </xdr:nvSpPr>
      <xdr:spPr>
        <a:xfrm>
          <a:off x="12116591" y="8404225"/>
          <a:ext cx="2196000" cy="847050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Bandspritzung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16</xdr:col>
      <xdr:colOff>35716</xdr:colOff>
      <xdr:row>25</xdr:row>
      <xdr:rowOff>11907</xdr:rowOff>
    </xdr:from>
    <xdr:to>
      <xdr:col>18</xdr:col>
      <xdr:colOff>707716</xdr:colOff>
      <xdr:row>28</xdr:row>
      <xdr:rowOff>173157</xdr:rowOff>
    </xdr:to>
    <xdr:sp macro="" textlink="">
      <xdr:nvSpPr>
        <xdr:cNvPr id="41" name="Rahmen 40">
          <a:hlinkClick xmlns:r="http://schemas.openxmlformats.org/officeDocument/2006/relationships" r:id="rId29"/>
        </xdr:cNvPr>
        <xdr:cNvSpPr/>
      </xdr:nvSpPr>
      <xdr:spPr>
        <a:xfrm>
          <a:off x="14418466" y="8384382"/>
          <a:ext cx="2196000" cy="847050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Bandspritzung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22</xdr:col>
      <xdr:colOff>35719</xdr:colOff>
      <xdr:row>21</xdr:row>
      <xdr:rowOff>31751</xdr:rowOff>
    </xdr:from>
    <xdr:to>
      <xdr:col>24</xdr:col>
      <xdr:colOff>707719</xdr:colOff>
      <xdr:row>24</xdr:row>
      <xdr:rowOff>193001</xdr:rowOff>
    </xdr:to>
    <xdr:sp macro="" textlink="">
      <xdr:nvSpPr>
        <xdr:cNvPr id="62" name="Rahmen 61">
          <a:hlinkClick xmlns:r="http://schemas.openxmlformats.org/officeDocument/2006/relationships" r:id="rId30"/>
        </xdr:cNvPr>
        <xdr:cNvSpPr/>
      </xdr:nvSpPr>
      <xdr:spPr>
        <a:xfrm>
          <a:off x="18990469" y="6080126"/>
          <a:ext cx="2196000" cy="847050"/>
        </a:xfrm>
        <a:prstGeom prst="bevel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/>
            <a:t>lange Doppelflachstrahl</a:t>
          </a:r>
          <a:br>
            <a:rPr lang="de-DE" sz="1400"/>
          </a:br>
          <a:r>
            <a:rPr lang="de-DE" sz="1600"/>
            <a:t>- zu den Düsen -</a:t>
          </a:r>
        </a:p>
      </xdr:txBody>
    </xdr:sp>
    <xdr:clientData/>
  </xdr:twoCellAnchor>
  <xdr:oneCellAnchor>
    <xdr:from>
      <xdr:col>6</xdr:col>
      <xdr:colOff>642937</xdr:colOff>
      <xdr:row>1</xdr:row>
      <xdr:rowOff>332547</xdr:rowOff>
    </xdr:from>
    <xdr:ext cx="5838026" cy="505267"/>
    <xdr:sp macro="" textlink="">
      <xdr:nvSpPr>
        <xdr:cNvPr id="179" name="Textfeld 178"/>
        <xdr:cNvSpPr txBox="1"/>
      </xdr:nvSpPr>
      <xdr:spPr>
        <a:xfrm>
          <a:off x="7358062" y="594485"/>
          <a:ext cx="5838026" cy="5052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r"/>
          <a:r>
            <a:rPr lang="de-DE" sz="2800" b="1">
              <a:latin typeface="Arial" panose="020B0604020202020204" pitchFamily="34" charset="0"/>
              <a:cs typeface="Arial" panose="020B0604020202020204" pitchFamily="34" charset="0"/>
            </a:rPr>
            <a:t>Düsenrechner Weihnachtsbäume </a:t>
          </a:r>
        </a:p>
      </xdr:txBody>
    </xdr:sp>
    <xdr:clientData/>
  </xdr:oneCellAnchor>
  <xdr:twoCellAnchor>
    <xdr:from>
      <xdr:col>16</xdr:col>
      <xdr:colOff>47624</xdr:colOff>
      <xdr:row>0</xdr:row>
      <xdr:rowOff>179246</xdr:rowOff>
    </xdr:from>
    <xdr:to>
      <xdr:col>19</xdr:col>
      <xdr:colOff>410195</xdr:colOff>
      <xdr:row>2</xdr:row>
      <xdr:rowOff>42738</xdr:rowOff>
    </xdr:to>
    <xdr:grpSp>
      <xdr:nvGrpSpPr>
        <xdr:cNvPr id="180" name="Gruppieren 179"/>
        <xdr:cNvGrpSpPr>
          <a:grpSpLocks noChangeAspect="1"/>
        </xdr:cNvGrpSpPr>
      </xdr:nvGrpSpPr>
      <xdr:grpSpPr>
        <a:xfrm>
          <a:off x="14430374" y="179246"/>
          <a:ext cx="2648571" cy="506430"/>
          <a:chOff x="7486640" y="6363548"/>
          <a:chExt cx="2692411" cy="537939"/>
        </a:xfrm>
      </xdr:grpSpPr>
      <xdr:sp macro="" textlink="">
        <xdr:nvSpPr>
          <xdr:cNvPr id="181" name="Text Box 33"/>
          <xdr:cNvSpPr txBox="1">
            <a:spLocks noChangeAspect="1" noChangeArrowheads="1"/>
          </xdr:cNvSpPr>
        </xdr:nvSpPr>
        <xdr:spPr bwMode="auto">
          <a:xfrm>
            <a:off x="7486640" y="6400801"/>
            <a:ext cx="2692411" cy="457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D3E9BD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l" rtl="0">
              <a:defRPr sz="1000"/>
            </a:pPr>
            <a:r>
              <a:rPr lang="de-DE" sz="1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Pflanzenschutzdienst</a:t>
            </a:r>
          </a:p>
          <a:p>
            <a:pPr algn="ctr" rtl="0">
              <a:defRPr sz="1000"/>
            </a:pPr>
            <a:endParaRPr lang="de-DE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de-DE" sz="16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182" name="Picture 34" descr="umriss2"/>
          <xdr:cNvPicPr>
            <a:picLocks noChangeAspect="1" noChangeArrowheads="1"/>
          </xdr:cNvPicPr>
        </xdr:nvPicPr>
        <xdr:blipFill>
          <a:blip xmlns:r="http://schemas.openxmlformats.org/officeDocument/2006/relationships" r:embed="rId31" cstate="email">
            <a:lum bright="-100000" contrast="100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604721" y="6363548"/>
            <a:ext cx="551912" cy="53793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</xdr:col>
      <xdr:colOff>190500</xdr:colOff>
      <xdr:row>0</xdr:row>
      <xdr:rowOff>95249</xdr:rowOff>
    </xdr:from>
    <xdr:to>
      <xdr:col>9</xdr:col>
      <xdr:colOff>720025</xdr:colOff>
      <xdr:row>1</xdr:row>
      <xdr:rowOff>285748</xdr:rowOff>
    </xdr:to>
    <xdr:pic>
      <xdr:nvPicPr>
        <xdr:cNvPr id="183" name="Picture 6" descr="lwk-nrw-gruen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05625" y="95249"/>
          <a:ext cx="2815525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23811</xdr:colOff>
      <xdr:row>3</xdr:row>
      <xdr:rowOff>238125</xdr:rowOff>
    </xdr:from>
    <xdr:ext cx="10668001" cy="468077"/>
    <xdr:sp macro="" textlink="">
      <xdr:nvSpPr>
        <xdr:cNvPr id="184" name="Textfeld 183"/>
        <xdr:cNvSpPr txBox="1"/>
      </xdr:nvSpPr>
      <xdr:spPr>
        <a:xfrm>
          <a:off x="6738936" y="1323975"/>
          <a:ext cx="1066800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de-DE" sz="1200" b="1"/>
            <a:t>*Der angegebene Druck ist ein tabellarischer Wert, da in jedem  Pflanzenschutzgerät Druckverluste auftreten, muss das Gerät vor Inbetriebnahme ausgelitert werden</a:t>
          </a:r>
        </a:p>
        <a:p>
          <a:pPr algn="ctr"/>
          <a:r>
            <a:rPr lang="de-DE" sz="1200" b="1"/>
            <a:t>Gültig nur für ISO 10625 genormte Düsen bei einem Düsenabstand von 40 bis 60 cm! Für Vollständigkeit und Richtigkeit wird keie Gewähr übernommen</a:t>
          </a:r>
        </a:p>
      </xdr:txBody>
    </xdr:sp>
    <xdr:clientData/>
  </xdr:oneCellAnchor>
  <xdr:twoCellAnchor>
    <xdr:from>
      <xdr:col>1</xdr:col>
      <xdr:colOff>214313</xdr:colOff>
      <xdr:row>15</xdr:row>
      <xdr:rowOff>142875</xdr:rowOff>
    </xdr:from>
    <xdr:to>
      <xdr:col>3</xdr:col>
      <xdr:colOff>624419</xdr:colOff>
      <xdr:row>23</xdr:row>
      <xdr:rowOff>202406</xdr:rowOff>
    </xdr:to>
    <xdr:grpSp>
      <xdr:nvGrpSpPr>
        <xdr:cNvPr id="198" name="Gruppieren 197">
          <a:hlinkClick xmlns:r="http://schemas.openxmlformats.org/officeDocument/2006/relationships" r:id="rId33"/>
        </xdr:cNvPr>
        <xdr:cNvGrpSpPr/>
      </xdr:nvGrpSpPr>
      <xdr:grpSpPr>
        <a:xfrm>
          <a:off x="3119438" y="4786313"/>
          <a:ext cx="1934106" cy="1893093"/>
          <a:chOff x="19800094" y="119062"/>
          <a:chExt cx="1934106" cy="1893093"/>
        </a:xfrm>
      </xdr:grpSpPr>
      <xdr:sp macro="" textlink="">
        <xdr:nvSpPr>
          <xdr:cNvPr id="195" name="Abgerundetes Rechteck 194"/>
          <xdr:cNvSpPr/>
        </xdr:nvSpPr>
        <xdr:spPr>
          <a:xfrm>
            <a:off x="19800094" y="119062"/>
            <a:ext cx="1934106" cy="1893093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1600" b="1"/>
              <a:t>Sprühkanone</a:t>
            </a:r>
          </a:p>
        </xdr:txBody>
      </xdr:sp>
      <xdr:pic>
        <xdr:nvPicPr>
          <xdr:cNvPr id="197" name="Grafik 196"/>
          <xdr:cNvPicPr>
            <a:picLocks noChangeAspect="1"/>
          </xdr:cNvPicPr>
        </xdr:nvPicPr>
        <xdr:blipFill>
          <a:blip xmlns:r="http://schemas.openxmlformats.org/officeDocument/2006/relationships" r:embed="rId3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00251" y="535781"/>
            <a:ext cx="1029579" cy="140295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119061</xdr:colOff>
      <xdr:row>9</xdr:row>
      <xdr:rowOff>95250</xdr:rowOff>
    </xdr:from>
    <xdr:to>
      <xdr:col>6</xdr:col>
      <xdr:colOff>488156</xdr:colOff>
      <xdr:row>15</xdr:row>
      <xdr:rowOff>11907</xdr:rowOff>
    </xdr:to>
    <xdr:sp macro="" textlink="">
      <xdr:nvSpPr>
        <xdr:cNvPr id="49" name="Rahmen 48"/>
        <xdr:cNvSpPr/>
      </xdr:nvSpPr>
      <xdr:spPr>
        <a:xfrm>
          <a:off x="3024186" y="3369469"/>
          <a:ext cx="4179095" cy="128587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Düsen für eine Feldspritze (horizontales Gestänge) bei entsprechender Größe anklicken bzw. </a:t>
          </a:r>
          <a:br>
            <a:rPr lang="de-DE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Sprühkanonen od. Vertikalgestänge</a:t>
          </a:r>
          <a:br>
            <a:rPr lang="de-DE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auf das entsprechende Bild klicken.</a:t>
          </a:r>
        </a:p>
      </xdr:txBody>
    </xdr:sp>
    <xdr:clientData/>
  </xdr:twoCellAnchor>
  <xdr:twoCellAnchor>
    <xdr:from>
      <xdr:col>4</xdr:col>
      <xdr:colOff>154782</xdr:colOff>
      <xdr:row>15</xdr:row>
      <xdr:rowOff>130969</xdr:rowOff>
    </xdr:from>
    <xdr:to>
      <xdr:col>6</xdr:col>
      <xdr:colOff>564888</xdr:colOff>
      <xdr:row>23</xdr:row>
      <xdr:rowOff>190500</xdr:rowOff>
    </xdr:to>
    <xdr:grpSp>
      <xdr:nvGrpSpPr>
        <xdr:cNvPr id="35" name="Gruppieren 34">
          <a:hlinkClick xmlns:r="http://schemas.openxmlformats.org/officeDocument/2006/relationships" r:id="rId35"/>
        </xdr:cNvPr>
        <xdr:cNvGrpSpPr/>
      </xdr:nvGrpSpPr>
      <xdr:grpSpPr>
        <a:xfrm>
          <a:off x="5345907" y="4774407"/>
          <a:ext cx="1934106" cy="1893093"/>
          <a:chOff x="5345907" y="4774407"/>
          <a:chExt cx="1934106" cy="1893093"/>
        </a:xfrm>
      </xdr:grpSpPr>
      <xdr:sp macro="" textlink="">
        <xdr:nvSpPr>
          <xdr:cNvPr id="51" name="Abgerundetes Rechteck 50"/>
          <xdr:cNvSpPr/>
        </xdr:nvSpPr>
        <xdr:spPr>
          <a:xfrm>
            <a:off x="5345907" y="4774407"/>
            <a:ext cx="1934106" cy="1893093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1600" b="1"/>
              <a:t>Vertikalgestänge</a:t>
            </a:r>
          </a:p>
        </xdr:txBody>
      </xdr:sp>
      <xdr:pic>
        <xdr:nvPicPr>
          <xdr:cNvPr id="34" name="Grafik 33"/>
          <xdr:cNvPicPr>
            <a:picLocks noChangeAspect="1"/>
          </xdr:cNvPicPr>
        </xdr:nvPicPr>
        <xdr:blipFill rotWithShape="1">
          <a:blip xmlns:r="http://schemas.openxmlformats.org/officeDocument/2006/relationships" r:embed="rId3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774531" y="5263655"/>
            <a:ext cx="1023937" cy="127287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345282</xdr:colOff>
      <xdr:row>30</xdr:row>
      <xdr:rowOff>23812</xdr:rowOff>
    </xdr:from>
    <xdr:to>
      <xdr:col>0</xdr:col>
      <xdr:colOff>2297907</xdr:colOff>
      <xdr:row>33</xdr:row>
      <xdr:rowOff>177272</xdr:rowOff>
    </xdr:to>
    <xdr:sp macro="" textlink="">
      <xdr:nvSpPr>
        <xdr:cNvPr id="53" name="Abgerundetes Rechteck 52"/>
        <xdr:cNvSpPr/>
      </xdr:nvSpPr>
      <xdr:spPr>
        <a:xfrm>
          <a:off x="345282" y="8120062"/>
          <a:ext cx="1952625" cy="832116"/>
        </a:xfrm>
        <a:prstGeom prst="roundRect">
          <a:avLst/>
        </a:prstGeom>
        <a:solidFill>
          <a:srgbClr val="33993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200" b="1"/>
            <a:t>Streifenbehandlung</a:t>
          </a:r>
        </a:p>
      </xdr:txBody>
    </xdr:sp>
    <xdr:clientData/>
  </xdr:twoCellAnchor>
  <xdr:twoCellAnchor editAs="oneCell">
    <xdr:from>
      <xdr:col>0</xdr:col>
      <xdr:colOff>988219</xdr:colOff>
      <xdr:row>31</xdr:row>
      <xdr:rowOff>119062</xdr:rowOff>
    </xdr:from>
    <xdr:to>
      <xdr:col>0</xdr:col>
      <xdr:colOff>1441819</xdr:colOff>
      <xdr:row>33</xdr:row>
      <xdr:rowOff>118516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 l="5071" t="4888" r="6486" b="12125"/>
        <a:stretch>
          <a:fillRect/>
        </a:stretch>
      </xdr:blipFill>
      <xdr:spPr bwMode="auto">
        <a:xfrm>
          <a:off x="988219" y="8441531"/>
          <a:ext cx="453600" cy="451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91279</xdr:colOff>
      <xdr:row>30</xdr:row>
      <xdr:rowOff>7938</xdr:rowOff>
    </xdr:from>
    <xdr:to>
      <xdr:col>15</xdr:col>
      <xdr:colOff>715654</xdr:colOff>
      <xdr:row>33</xdr:row>
      <xdr:rowOff>169188</xdr:rowOff>
    </xdr:to>
    <xdr:sp macro="" textlink="">
      <xdr:nvSpPr>
        <xdr:cNvPr id="56" name="Rahmen 55">
          <a:hlinkClick xmlns:r="http://schemas.openxmlformats.org/officeDocument/2006/relationships" r:id="rId38"/>
        </xdr:cNvPr>
        <xdr:cNvSpPr/>
      </xdr:nvSpPr>
      <xdr:spPr>
        <a:xfrm>
          <a:off x="12140404" y="8104188"/>
          <a:ext cx="2196000" cy="839906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Streifenspritzung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16</xdr:col>
      <xdr:colOff>43654</xdr:colOff>
      <xdr:row>30</xdr:row>
      <xdr:rowOff>31750</xdr:rowOff>
    </xdr:from>
    <xdr:to>
      <xdr:col>18</xdr:col>
      <xdr:colOff>715654</xdr:colOff>
      <xdr:row>33</xdr:row>
      <xdr:rowOff>193000</xdr:rowOff>
    </xdr:to>
    <xdr:sp macro="" textlink="">
      <xdr:nvSpPr>
        <xdr:cNvPr id="57" name="Rahmen 56">
          <a:hlinkClick xmlns:r="http://schemas.openxmlformats.org/officeDocument/2006/relationships" r:id="rId39"/>
        </xdr:cNvPr>
        <xdr:cNvSpPr/>
      </xdr:nvSpPr>
      <xdr:spPr>
        <a:xfrm>
          <a:off x="14426404" y="8128000"/>
          <a:ext cx="2196000" cy="839906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Streifenspritzung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19</xdr:col>
      <xdr:colOff>31748</xdr:colOff>
      <xdr:row>30</xdr:row>
      <xdr:rowOff>43657</xdr:rowOff>
    </xdr:from>
    <xdr:to>
      <xdr:col>21</xdr:col>
      <xdr:colOff>703748</xdr:colOff>
      <xdr:row>33</xdr:row>
      <xdr:rowOff>204907</xdr:rowOff>
    </xdr:to>
    <xdr:sp macro="" textlink="">
      <xdr:nvSpPr>
        <xdr:cNvPr id="58" name="Rahmen 57">
          <a:hlinkClick xmlns:r="http://schemas.openxmlformats.org/officeDocument/2006/relationships" r:id="rId40"/>
        </xdr:cNvPr>
        <xdr:cNvSpPr/>
      </xdr:nvSpPr>
      <xdr:spPr>
        <a:xfrm>
          <a:off x="16700498" y="8139907"/>
          <a:ext cx="2196000" cy="839906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Streifenspritzung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10</xdr:col>
      <xdr:colOff>55560</xdr:colOff>
      <xdr:row>30</xdr:row>
      <xdr:rowOff>43656</xdr:rowOff>
    </xdr:from>
    <xdr:to>
      <xdr:col>12</xdr:col>
      <xdr:colOff>727560</xdr:colOff>
      <xdr:row>33</xdr:row>
      <xdr:rowOff>204906</xdr:rowOff>
    </xdr:to>
    <xdr:sp macro="" textlink="">
      <xdr:nvSpPr>
        <xdr:cNvPr id="60" name="Rahmen 59">
          <a:hlinkClick xmlns:r="http://schemas.openxmlformats.org/officeDocument/2006/relationships" r:id="rId41"/>
        </xdr:cNvPr>
        <xdr:cNvSpPr/>
      </xdr:nvSpPr>
      <xdr:spPr>
        <a:xfrm>
          <a:off x="9818685" y="8139906"/>
          <a:ext cx="2196000" cy="839906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Streifenspritzung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7</xdr:col>
      <xdr:colOff>67466</xdr:colOff>
      <xdr:row>30</xdr:row>
      <xdr:rowOff>43656</xdr:rowOff>
    </xdr:from>
    <xdr:to>
      <xdr:col>9</xdr:col>
      <xdr:colOff>739466</xdr:colOff>
      <xdr:row>33</xdr:row>
      <xdr:rowOff>204906</xdr:rowOff>
    </xdr:to>
    <xdr:sp macro="" textlink="">
      <xdr:nvSpPr>
        <xdr:cNvPr id="61" name="Rahmen 60">
          <a:hlinkClick xmlns:r="http://schemas.openxmlformats.org/officeDocument/2006/relationships" r:id="rId42"/>
        </xdr:cNvPr>
        <xdr:cNvSpPr/>
      </xdr:nvSpPr>
      <xdr:spPr>
        <a:xfrm>
          <a:off x="7544591" y="8139906"/>
          <a:ext cx="2196000" cy="839906"/>
        </a:xfrm>
        <a:prstGeom prst="bevel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bg1"/>
              </a:solidFill>
            </a:rPr>
            <a:t>Streifenspritzung</a:t>
          </a:r>
          <a:br>
            <a:rPr lang="de-DE" sz="1600" b="1">
              <a:solidFill>
                <a:schemeClr val="bg1"/>
              </a:solidFill>
            </a:rPr>
          </a:br>
          <a:r>
            <a:rPr lang="de-DE" sz="1600" b="1">
              <a:solidFill>
                <a:schemeClr val="bg1"/>
              </a:solidFill>
            </a:rPr>
            <a:t>- zu den Düsen -</a:t>
          </a:r>
        </a:p>
      </xdr:txBody>
    </xdr:sp>
    <xdr:clientData/>
  </xdr:twoCellAnchor>
  <xdr:twoCellAnchor>
    <xdr:from>
      <xdr:col>0</xdr:col>
      <xdr:colOff>345282</xdr:colOff>
      <xdr:row>25</xdr:row>
      <xdr:rowOff>23812</xdr:rowOff>
    </xdr:from>
    <xdr:to>
      <xdr:col>0</xdr:col>
      <xdr:colOff>2297907</xdr:colOff>
      <xdr:row>28</xdr:row>
      <xdr:rowOff>177272</xdr:rowOff>
    </xdr:to>
    <xdr:grpSp>
      <xdr:nvGrpSpPr>
        <xdr:cNvPr id="10" name="Gruppieren 9"/>
        <xdr:cNvGrpSpPr/>
      </xdr:nvGrpSpPr>
      <xdr:grpSpPr>
        <a:xfrm>
          <a:off x="345282" y="6965156"/>
          <a:ext cx="1952625" cy="832116"/>
          <a:chOff x="345282" y="6965156"/>
          <a:chExt cx="1952625" cy="832116"/>
        </a:xfrm>
      </xdr:grpSpPr>
      <xdr:sp macro="" textlink="">
        <xdr:nvSpPr>
          <xdr:cNvPr id="12" name="Abgerundetes Rechteck 11"/>
          <xdr:cNvSpPr/>
        </xdr:nvSpPr>
        <xdr:spPr>
          <a:xfrm>
            <a:off x="345282" y="6965156"/>
            <a:ext cx="1952625" cy="832116"/>
          </a:xfrm>
          <a:prstGeom prst="roundRect">
            <a:avLst/>
          </a:prstGeom>
          <a:solidFill>
            <a:srgbClr val="339933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DE" sz="1200" b="1"/>
              <a:t>Bandspritzung</a:t>
            </a:r>
          </a:p>
        </xdr:txBody>
      </xdr:sp>
      <xdr:pic>
        <xdr:nvPicPr>
          <xdr:cNvPr id="6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43"/>
          <a:srcRect l="843" t="865" r="6743" b="4324"/>
          <a:stretch>
            <a:fillRect/>
          </a:stretch>
        </xdr:blipFill>
        <xdr:spPr bwMode="auto">
          <a:xfrm>
            <a:off x="1047751" y="7286625"/>
            <a:ext cx="453600" cy="456410"/>
          </a:xfrm>
          <a:prstGeom prst="rect">
            <a:avLst/>
          </a:prstGeom>
          <a:noFill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176213</xdr:rowOff>
    </xdr:from>
    <xdr:to>
      <xdr:col>19</xdr:col>
      <xdr:colOff>372686</xdr:colOff>
      <xdr:row>33</xdr:row>
      <xdr:rowOff>181126</xdr:rowOff>
    </xdr:to>
    <xdr:grpSp>
      <xdr:nvGrpSpPr>
        <xdr:cNvPr id="2" name="Gruppieren 1"/>
        <xdr:cNvGrpSpPr/>
      </xdr:nvGrpSpPr>
      <xdr:grpSpPr>
        <a:xfrm>
          <a:off x="0" y="5998369"/>
          <a:ext cx="13707686" cy="1814663"/>
          <a:chOff x="95250" y="3617119"/>
          <a:chExt cx="13671967" cy="18146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671967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617119"/>
            <a:ext cx="4837319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0" name="Rahmen 9"/>
        <xdr:cNvSpPr/>
      </xdr:nvSpPr>
      <xdr:spPr>
        <a:xfrm>
          <a:off x="0" y="3633786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1" name="Rahmen 10"/>
        <xdr:cNvSpPr/>
      </xdr:nvSpPr>
      <xdr:spPr>
        <a:xfrm>
          <a:off x="4176711" y="0"/>
          <a:ext cx="3640933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185737</xdr:rowOff>
    </xdr:from>
    <xdr:to>
      <xdr:col>19</xdr:col>
      <xdr:colOff>372686</xdr:colOff>
      <xdr:row>33</xdr:row>
      <xdr:rowOff>2532</xdr:rowOff>
    </xdr:to>
    <xdr:grpSp>
      <xdr:nvGrpSpPr>
        <xdr:cNvPr id="2" name="Gruppieren 1"/>
        <xdr:cNvGrpSpPr/>
      </xdr:nvGrpSpPr>
      <xdr:grpSpPr>
        <a:xfrm>
          <a:off x="0" y="5781675"/>
          <a:ext cx="13314780" cy="1852763"/>
          <a:chOff x="95250" y="3579019"/>
          <a:chExt cx="13279061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279061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5413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77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296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4</xdr:col>
      <xdr:colOff>11906</xdr:colOff>
      <xdr:row>0</xdr:row>
      <xdr:rowOff>23813</xdr:rowOff>
    </xdr:from>
    <xdr:to>
      <xdr:col>6</xdr:col>
      <xdr:colOff>1285875</xdr:colOff>
      <xdr:row>3</xdr:row>
      <xdr:rowOff>178594</xdr:rowOff>
    </xdr:to>
    <xdr:sp macro="" textlink="">
      <xdr:nvSpPr>
        <xdr:cNvPr id="11" name="Rahmen 10"/>
        <xdr:cNvSpPr/>
      </xdr:nvSpPr>
      <xdr:spPr>
        <a:xfrm>
          <a:off x="4164806" y="23813"/>
          <a:ext cx="3283744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  <xdr:twoCellAnchor>
    <xdr:from>
      <xdr:col>0</xdr:col>
      <xdr:colOff>35719</xdr:colOff>
      <xdr:row>15</xdr:row>
      <xdr:rowOff>83343</xdr:rowOff>
    </xdr:from>
    <xdr:to>
      <xdr:col>3</xdr:col>
      <xdr:colOff>809625</xdr:colOff>
      <xdr:row>20</xdr:row>
      <xdr:rowOff>11905</xdr:rowOff>
    </xdr:to>
    <xdr:sp macro="" textlink="">
      <xdr:nvSpPr>
        <xdr:cNvPr id="12" name="Rahmen 11"/>
        <xdr:cNvSpPr/>
      </xdr:nvSpPr>
      <xdr:spPr>
        <a:xfrm>
          <a:off x="35719" y="3645693"/>
          <a:ext cx="4088606" cy="1071562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78581</xdr:rowOff>
    </xdr:from>
    <xdr:to>
      <xdr:col>19</xdr:col>
      <xdr:colOff>384592</xdr:colOff>
      <xdr:row>33</xdr:row>
      <xdr:rowOff>121594</xdr:rowOff>
    </xdr:to>
    <xdr:grpSp>
      <xdr:nvGrpSpPr>
        <xdr:cNvPr id="2" name="Gruppieren 1"/>
        <xdr:cNvGrpSpPr/>
      </xdr:nvGrpSpPr>
      <xdr:grpSpPr>
        <a:xfrm>
          <a:off x="11906" y="5900737"/>
          <a:ext cx="13398124" cy="1852763"/>
          <a:chOff x="95250" y="3579019"/>
          <a:chExt cx="13279061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279061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058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535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304800" cy="304800"/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05875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4800"/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05875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304800" cy="304800"/>
    <xdr:sp macro="" textlink="">
      <xdr:nvSpPr>
        <xdr:cNvPr id="2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05875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23" name="Rahmen 22"/>
        <xdr:cNvSpPr/>
      </xdr:nvSpPr>
      <xdr:spPr>
        <a:xfrm>
          <a:off x="0" y="3609974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59529</xdr:colOff>
      <xdr:row>0</xdr:row>
      <xdr:rowOff>0</xdr:rowOff>
    </xdr:from>
    <xdr:to>
      <xdr:col>6</xdr:col>
      <xdr:colOff>1333498</xdr:colOff>
      <xdr:row>3</xdr:row>
      <xdr:rowOff>154781</xdr:rowOff>
    </xdr:to>
    <xdr:sp macro="" textlink="">
      <xdr:nvSpPr>
        <xdr:cNvPr id="24" name="Rahmen 23"/>
        <xdr:cNvSpPr/>
      </xdr:nvSpPr>
      <xdr:spPr>
        <a:xfrm>
          <a:off x="4212429" y="0"/>
          <a:ext cx="3283744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25</xdr:row>
      <xdr:rowOff>90486</xdr:rowOff>
    </xdr:from>
    <xdr:to>
      <xdr:col>19</xdr:col>
      <xdr:colOff>420312</xdr:colOff>
      <xdr:row>33</xdr:row>
      <xdr:rowOff>133499</xdr:rowOff>
    </xdr:to>
    <xdr:grpSp>
      <xdr:nvGrpSpPr>
        <xdr:cNvPr id="2" name="Gruppieren 1"/>
        <xdr:cNvGrpSpPr/>
      </xdr:nvGrpSpPr>
      <xdr:grpSpPr>
        <a:xfrm>
          <a:off x="47626" y="5912642"/>
          <a:ext cx="13743405" cy="1852763"/>
          <a:chOff x="95250" y="3579019"/>
          <a:chExt cx="13707686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707686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059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059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059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583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59530</xdr:rowOff>
    </xdr:from>
    <xdr:to>
      <xdr:col>3</xdr:col>
      <xdr:colOff>773906</xdr:colOff>
      <xdr:row>19</xdr:row>
      <xdr:rowOff>214311</xdr:rowOff>
    </xdr:to>
    <xdr:sp macro="" textlink="">
      <xdr:nvSpPr>
        <xdr:cNvPr id="11" name="Rahmen 10"/>
        <xdr:cNvSpPr/>
      </xdr:nvSpPr>
      <xdr:spPr>
        <a:xfrm>
          <a:off x="0" y="3621880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47623</xdr:colOff>
      <xdr:row>0</xdr:row>
      <xdr:rowOff>0</xdr:rowOff>
    </xdr:from>
    <xdr:to>
      <xdr:col>6</xdr:col>
      <xdr:colOff>1678781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200523" y="0"/>
          <a:ext cx="3640933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102394</xdr:rowOff>
    </xdr:from>
    <xdr:to>
      <xdr:col>19</xdr:col>
      <xdr:colOff>420311</xdr:colOff>
      <xdr:row>33</xdr:row>
      <xdr:rowOff>145407</xdr:rowOff>
    </xdr:to>
    <xdr:grpSp>
      <xdr:nvGrpSpPr>
        <xdr:cNvPr id="2" name="Gruppieren 1"/>
        <xdr:cNvGrpSpPr/>
      </xdr:nvGrpSpPr>
      <xdr:grpSpPr>
        <a:xfrm>
          <a:off x="47625" y="5924550"/>
          <a:ext cx="13993436" cy="1852763"/>
          <a:chOff x="95250" y="3579019"/>
          <a:chExt cx="13957717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957717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953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953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9536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5059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1" name="Rahmen 10"/>
        <xdr:cNvSpPr/>
      </xdr:nvSpPr>
      <xdr:spPr>
        <a:xfrm>
          <a:off x="0" y="3633786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76711" y="0"/>
          <a:ext cx="3640933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90488</xdr:rowOff>
    </xdr:from>
    <xdr:to>
      <xdr:col>19</xdr:col>
      <xdr:colOff>420310</xdr:colOff>
      <xdr:row>33</xdr:row>
      <xdr:rowOff>133501</xdr:rowOff>
    </xdr:to>
    <xdr:grpSp>
      <xdr:nvGrpSpPr>
        <xdr:cNvPr id="2" name="Gruppieren 1"/>
        <xdr:cNvGrpSpPr/>
      </xdr:nvGrpSpPr>
      <xdr:grpSpPr>
        <a:xfrm>
          <a:off x="47625" y="5912644"/>
          <a:ext cx="13398123" cy="1852763"/>
          <a:chOff x="95250" y="3579019"/>
          <a:chExt cx="13362404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362404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5413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154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304800" cy="304800"/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1540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4800"/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15400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304800" cy="304800"/>
    <xdr:sp macro="" textlink="">
      <xdr:nvSpPr>
        <xdr:cNvPr id="2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1540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23" name="Rahmen 22"/>
        <xdr:cNvSpPr/>
      </xdr:nvSpPr>
      <xdr:spPr>
        <a:xfrm>
          <a:off x="0" y="3609974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1297780</xdr:colOff>
      <xdr:row>3</xdr:row>
      <xdr:rowOff>154781</xdr:rowOff>
    </xdr:to>
    <xdr:sp macro="" textlink="">
      <xdr:nvSpPr>
        <xdr:cNvPr id="24" name="Rahmen 23"/>
        <xdr:cNvSpPr/>
      </xdr:nvSpPr>
      <xdr:spPr>
        <a:xfrm>
          <a:off x="4176711" y="0"/>
          <a:ext cx="3283744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102390</xdr:rowOff>
    </xdr:from>
    <xdr:to>
      <xdr:col>19</xdr:col>
      <xdr:colOff>396498</xdr:colOff>
      <xdr:row>33</xdr:row>
      <xdr:rowOff>145404</xdr:rowOff>
    </xdr:to>
    <xdr:grpSp>
      <xdr:nvGrpSpPr>
        <xdr:cNvPr id="2" name="Gruppieren 1"/>
        <xdr:cNvGrpSpPr/>
      </xdr:nvGrpSpPr>
      <xdr:grpSpPr>
        <a:xfrm>
          <a:off x="23812" y="5936453"/>
          <a:ext cx="13505280" cy="1852764"/>
          <a:chOff x="95250" y="4888703"/>
          <a:chExt cx="13290967" cy="1852764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6167962"/>
            <a:ext cx="13290967" cy="573505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4993743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4888703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304800" cy="304800"/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304800" cy="304800"/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304800" cy="304800"/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4800"/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260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304800" cy="304800"/>
    <xdr:sp macro="" textlink="">
      <xdr:nvSpPr>
        <xdr:cNvPr id="2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2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2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304800" cy="304800"/>
    <xdr:sp macro="" textlink="">
      <xdr:nvSpPr>
        <xdr:cNvPr id="2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2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0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2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0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2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0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304800" cy="304800"/>
    <xdr:sp macro="" textlink="">
      <xdr:nvSpPr>
        <xdr:cNvPr id="2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28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304800" cy="304800"/>
    <xdr:sp macro="" textlink="">
      <xdr:nvSpPr>
        <xdr:cNvPr id="3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30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0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0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04800"/>
    <xdr:sp macro="" textlink="">
      <xdr:nvSpPr>
        <xdr:cNvPr id="3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0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3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3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3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304800" cy="304800"/>
    <xdr:sp macro="" textlink="">
      <xdr:nvSpPr>
        <xdr:cNvPr id="3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30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0</xdr:rowOff>
    </xdr:from>
    <xdr:ext cx="304800" cy="304800"/>
    <xdr:sp macro="" textlink="">
      <xdr:nvSpPr>
        <xdr:cNvPr id="3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3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0</xdr:rowOff>
    </xdr:from>
    <xdr:ext cx="304800" cy="304800"/>
    <xdr:sp macro="" textlink="">
      <xdr:nvSpPr>
        <xdr:cNvPr id="4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0</xdr:rowOff>
    </xdr:from>
    <xdr:ext cx="304800" cy="304800"/>
    <xdr:sp macro="" textlink="">
      <xdr:nvSpPr>
        <xdr:cNvPr id="4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4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4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4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0</xdr:rowOff>
    </xdr:from>
    <xdr:ext cx="304800" cy="304800"/>
    <xdr:sp macro="" textlink="">
      <xdr:nvSpPr>
        <xdr:cNvPr id="4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304800" cy="304800"/>
    <xdr:sp macro="" textlink="">
      <xdr:nvSpPr>
        <xdr:cNvPr id="5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5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5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304800" cy="304800"/>
    <xdr:sp macro="" textlink="">
      <xdr:nvSpPr>
        <xdr:cNvPr id="5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304800" cy="304800"/>
    <xdr:sp macro="" textlink="">
      <xdr:nvSpPr>
        <xdr:cNvPr id="5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190499</xdr:rowOff>
    </xdr:to>
    <xdr:sp macro="" textlink="">
      <xdr:nvSpPr>
        <xdr:cNvPr id="55" name="Rahmen 54"/>
        <xdr:cNvSpPr/>
      </xdr:nvSpPr>
      <xdr:spPr>
        <a:xfrm>
          <a:off x="0" y="3609974"/>
          <a:ext cx="4088606" cy="1066800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59529</xdr:colOff>
      <xdr:row>0</xdr:row>
      <xdr:rowOff>0</xdr:rowOff>
    </xdr:from>
    <xdr:to>
      <xdr:col>6</xdr:col>
      <xdr:colOff>1333498</xdr:colOff>
      <xdr:row>3</xdr:row>
      <xdr:rowOff>154781</xdr:rowOff>
    </xdr:to>
    <xdr:sp macro="" textlink="">
      <xdr:nvSpPr>
        <xdr:cNvPr id="56" name="Rahmen 55"/>
        <xdr:cNvSpPr/>
      </xdr:nvSpPr>
      <xdr:spPr>
        <a:xfrm>
          <a:off x="4212429" y="0"/>
          <a:ext cx="3283744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102394</xdr:rowOff>
    </xdr:from>
    <xdr:to>
      <xdr:col>19</xdr:col>
      <xdr:colOff>372686</xdr:colOff>
      <xdr:row>33</xdr:row>
      <xdr:rowOff>145407</xdr:rowOff>
    </xdr:to>
    <xdr:grpSp>
      <xdr:nvGrpSpPr>
        <xdr:cNvPr id="2" name="Gruppieren 1"/>
        <xdr:cNvGrpSpPr/>
      </xdr:nvGrpSpPr>
      <xdr:grpSpPr>
        <a:xfrm>
          <a:off x="0" y="5924550"/>
          <a:ext cx="13743405" cy="1852763"/>
          <a:chOff x="95250" y="3579019"/>
          <a:chExt cx="13707686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707686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059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059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059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583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59530</xdr:rowOff>
    </xdr:from>
    <xdr:to>
      <xdr:col>3</xdr:col>
      <xdr:colOff>773906</xdr:colOff>
      <xdr:row>19</xdr:row>
      <xdr:rowOff>214311</xdr:rowOff>
    </xdr:to>
    <xdr:sp macro="" textlink="">
      <xdr:nvSpPr>
        <xdr:cNvPr id="11" name="Rahmen 10"/>
        <xdr:cNvSpPr/>
      </xdr:nvSpPr>
      <xdr:spPr>
        <a:xfrm>
          <a:off x="0" y="3621880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47623</xdr:colOff>
      <xdr:row>0</xdr:row>
      <xdr:rowOff>0</xdr:rowOff>
    </xdr:from>
    <xdr:to>
      <xdr:col>6</xdr:col>
      <xdr:colOff>1678781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200523" y="0"/>
          <a:ext cx="3640933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25</xdr:row>
      <xdr:rowOff>78582</xdr:rowOff>
    </xdr:from>
    <xdr:to>
      <xdr:col>19</xdr:col>
      <xdr:colOff>396498</xdr:colOff>
      <xdr:row>33</xdr:row>
      <xdr:rowOff>121595</xdr:rowOff>
    </xdr:to>
    <xdr:grpSp>
      <xdr:nvGrpSpPr>
        <xdr:cNvPr id="2" name="Gruppieren 1"/>
        <xdr:cNvGrpSpPr/>
      </xdr:nvGrpSpPr>
      <xdr:grpSpPr>
        <a:xfrm>
          <a:off x="23813" y="5900738"/>
          <a:ext cx="13731498" cy="1852763"/>
          <a:chOff x="95250" y="3579019"/>
          <a:chExt cx="13695779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695779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86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86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86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392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1" name="Rahmen 10"/>
        <xdr:cNvSpPr/>
      </xdr:nvSpPr>
      <xdr:spPr>
        <a:xfrm>
          <a:off x="0" y="3633786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76711" y="0"/>
          <a:ext cx="3640933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5" name="Rahmen 4">
          <a:hlinkClick xmlns:r="http://schemas.openxmlformats.org/officeDocument/2006/relationships" r:id="rId1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47626</xdr:colOff>
      <xdr:row>22</xdr:row>
      <xdr:rowOff>59532</xdr:rowOff>
    </xdr:from>
    <xdr:to>
      <xdr:col>10</xdr:col>
      <xdr:colOff>166688</xdr:colOff>
      <xdr:row>27</xdr:row>
      <xdr:rowOff>11907</xdr:rowOff>
    </xdr:to>
    <xdr:sp macro="" textlink="">
      <xdr:nvSpPr>
        <xdr:cNvPr id="21" name="Rahmen 20"/>
        <xdr:cNvSpPr/>
      </xdr:nvSpPr>
      <xdr:spPr>
        <a:xfrm>
          <a:off x="47626" y="5279232"/>
          <a:ext cx="11434762" cy="1095375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22" name="Rahmen 21"/>
        <xdr:cNvSpPr/>
      </xdr:nvSpPr>
      <xdr:spPr>
        <a:xfrm>
          <a:off x="4686300" y="0"/>
          <a:ext cx="2712245" cy="8953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Streifenspritzdüsen</a:t>
          </a:r>
        </a:p>
      </xdr:txBody>
    </xdr:sp>
    <xdr:clientData/>
  </xdr:twoCellAnchor>
  <xdr:twoCellAnchor>
    <xdr:from>
      <xdr:col>2</xdr:col>
      <xdr:colOff>71437</xdr:colOff>
      <xdr:row>10</xdr:row>
      <xdr:rowOff>119063</xdr:rowOff>
    </xdr:from>
    <xdr:to>
      <xdr:col>3</xdr:col>
      <xdr:colOff>785812</xdr:colOff>
      <xdr:row>14</xdr:row>
      <xdr:rowOff>107157</xdr:rowOff>
    </xdr:to>
    <xdr:sp macro="" textlink="">
      <xdr:nvSpPr>
        <xdr:cNvPr id="23" name="Horizontales Scrollen 22"/>
        <xdr:cNvSpPr/>
      </xdr:nvSpPr>
      <xdr:spPr>
        <a:xfrm>
          <a:off x="2738437" y="2490788"/>
          <a:ext cx="1800225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23811</xdr:colOff>
      <xdr:row>16</xdr:row>
      <xdr:rowOff>35719</xdr:rowOff>
    </xdr:from>
    <xdr:to>
      <xdr:col>4</xdr:col>
      <xdr:colOff>547687</xdr:colOff>
      <xdr:row>20</xdr:row>
      <xdr:rowOff>23813</xdr:rowOff>
    </xdr:to>
    <xdr:sp macro="" textlink="">
      <xdr:nvSpPr>
        <xdr:cNvPr id="24" name="Horizontales Scrollen 23"/>
        <xdr:cNvSpPr/>
      </xdr:nvSpPr>
      <xdr:spPr>
        <a:xfrm>
          <a:off x="3776661" y="3836194"/>
          <a:ext cx="1362076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das behandelte Band bezogen</a:t>
          </a:r>
        </a:p>
      </xdr:txBody>
    </xdr:sp>
    <xdr:clientData/>
  </xdr:twoCellAnchor>
  <xdr:twoCellAnchor editAs="oneCell">
    <xdr:from>
      <xdr:col>5</xdr:col>
      <xdr:colOff>1202532</xdr:colOff>
      <xdr:row>12</xdr:row>
      <xdr:rowOff>71437</xdr:rowOff>
    </xdr:from>
    <xdr:to>
      <xdr:col>8</xdr:col>
      <xdr:colOff>428625</xdr:colOff>
      <xdr:row>19</xdr:row>
      <xdr:rowOff>11905</xdr:rowOff>
    </xdr:to>
    <xdr:pic>
      <xdr:nvPicPr>
        <xdr:cNvPr id="25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1131" b="16341"/>
        <a:stretch/>
      </xdr:blipFill>
      <xdr:spPr bwMode="auto">
        <a:xfrm>
          <a:off x="6548438" y="2917031"/>
          <a:ext cx="3905250" cy="1607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66675</xdr:rowOff>
    </xdr:from>
    <xdr:to>
      <xdr:col>1</xdr:col>
      <xdr:colOff>657225</xdr:colOff>
      <xdr:row>10</xdr:row>
      <xdr:rowOff>209550</xdr:rowOff>
    </xdr:to>
    <xdr:sp macro="" textlink="">
      <xdr:nvSpPr>
        <xdr:cNvPr id="2" name="Rahmen 1"/>
        <xdr:cNvSpPr/>
      </xdr:nvSpPr>
      <xdr:spPr>
        <a:xfrm>
          <a:off x="28575" y="1857375"/>
          <a:ext cx="2990850" cy="619125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Anzahl der Düsen an</a:t>
          </a:r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200" b="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einem</a:t>
          </a:r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Vertikalgestänge (links und rechts)</a:t>
          </a:r>
          <a:endParaRPr lang="de-DE" sz="12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171450</xdr:colOff>
      <xdr:row>0</xdr:row>
      <xdr:rowOff>66675</xdr:rowOff>
    </xdr:from>
    <xdr:to>
      <xdr:col>0</xdr:col>
      <xdr:colOff>1685925</xdr:colOff>
      <xdr:row>2</xdr:row>
      <xdr:rowOff>73819</xdr:rowOff>
    </xdr:to>
    <xdr:sp macro="" textlink="">
      <xdr:nvSpPr>
        <xdr:cNvPr id="3" name="Rahmen 2">
          <a:hlinkClick xmlns:r="http://schemas.openxmlformats.org/officeDocument/2006/relationships" r:id="rId1"/>
        </xdr:cNvPr>
        <xdr:cNvSpPr/>
      </xdr:nvSpPr>
      <xdr:spPr>
        <a:xfrm>
          <a:off x="171450" y="66675"/>
          <a:ext cx="1514475" cy="397669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25</xdr:row>
      <xdr:rowOff>78582</xdr:rowOff>
    </xdr:from>
    <xdr:to>
      <xdr:col>19</xdr:col>
      <xdr:colOff>408404</xdr:colOff>
      <xdr:row>33</xdr:row>
      <xdr:rowOff>121595</xdr:rowOff>
    </xdr:to>
    <xdr:grpSp>
      <xdr:nvGrpSpPr>
        <xdr:cNvPr id="2" name="Gruppieren 1"/>
        <xdr:cNvGrpSpPr/>
      </xdr:nvGrpSpPr>
      <xdr:grpSpPr>
        <a:xfrm>
          <a:off x="35719" y="5900738"/>
          <a:ext cx="13017123" cy="1852763"/>
          <a:chOff x="95250" y="3579019"/>
          <a:chExt cx="12981404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2981404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72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72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725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5248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11" name="Rahmen 10"/>
        <xdr:cNvSpPr/>
      </xdr:nvSpPr>
      <xdr:spPr>
        <a:xfrm>
          <a:off x="0" y="3609974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7</xdr:col>
      <xdr:colOff>273842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76711" y="0"/>
          <a:ext cx="3278981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114300</xdr:rowOff>
    </xdr:from>
    <xdr:to>
      <xdr:col>19</xdr:col>
      <xdr:colOff>396497</xdr:colOff>
      <xdr:row>33</xdr:row>
      <xdr:rowOff>157313</xdr:rowOff>
    </xdr:to>
    <xdr:grpSp>
      <xdr:nvGrpSpPr>
        <xdr:cNvPr id="2" name="Gruppieren 1"/>
        <xdr:cNvGrpSpPr/>
      </xdr:nvGrpSpPr>
      <xdr:grpSpPr>
        <a:xfrm>
          <a:off x="23812" y="5936456"/>
          <a:ext cx="13433841" cy="1852763"/>
          <a:chOff x="95250" y="3579019"/>
          <a:chExt cx="13124279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124279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916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916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916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439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11" name="Rahmen 10"/>
        <xdr:cNvSpPr/>
      </xdr:nvSpPr>
      <xdr:spPr>
        <a:xfrm>
          <a:off x="0" y="3609974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59529</xdr:colOff>
      <xdr:row>0</xdr:row>
      <xdr:rowOff>0</xdr:rowOff>
    </xdr:from>
    <xdr:to>
      <xdr:col>6</xdr:col>
      <xdr:colOff>1238250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212429" y="0"/>
          <a:ext cx="3188496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102395</xdr:rowOff>
    </xdr:from>
    <xdr:to>
      <xdr:col>19</xdr:col>
      <xdr:colOff>372686</xdr:colOff>
      <xdr:row>33</xdr:row>
      <xdr:rowOff>145408</xdr:rowOff>
    </xdr:to>
    <xdr:grpSp>
      <xdr:nvGrpSpPr>
        <xdr:cNvPr id="2" name="Gruppieren 1"/>
        <xdr:cNvGrpSpPr/>
      </xdr:nvGrpSpPr>
      <xdr:grpSpPr>
        <a:xfrm>
          <a:off x="0" y="5924551"/>
          <a:ext cx="13410030" cy="1852763"/>
          <a:chOff x="95250" y="3579019"/>
          <a:chExt cx="13374311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374311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726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726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726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24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59530</xdr:rowOff>
    </xdr:from>
    <xdr:to>
      <xdr:col>3</xdr:col>
      <xdr:colOff>773906</xdr:colOff>
      <xdr:row>19</xdr:row>
      <xdr:rowOff>214311</xdr:rowOff>
    </xdr:to>
    <xdr:sp macro="" textlink="">
      <xdr:nvSpPr>
        <xdr:cNvPr id="11" name="Rahmen 10"/>
        <xdr:cNvSpPr/>
      </xdr:nvSpPr>
      <xdr:spPr>
        <a:xfrm>
          <a:off x="0" y="3621880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47623</xdr:colOff>
      <xdr:row>0</xdr:row>
      <xdr:rowOff>0</xdr:rowOff>
    </xdr:from>
    <xdr:to>
      <xdr:col>7</xdr:col>
      <xdr:colOff>261937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200523" y="0"/>
          <a:ext cx="3643314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25</xdr:row>
      <xdr:rowOff>102394</xdr:rowOff>
    </xdr:from>
    <xdr:to>
      <xdr:col>19</xdr:col>
      <xdr:colOff>396498</xdr:colOff>
      <xdr:row>33</xdr:row>
      <xdr:rowOff>145407</xdr:rowOff>
    </xdr:to>
    <xdr:grpSp>
      <xdr:nvGrpSpPr>
        <xdr:cNvPr id="2" name="Gruppieren 1"/>
        <xdr:cNvGrpSpPr/>
      </xdr:nvGrpSpPr>
      <xdr:grpSpPr>
        <a:xfrm>
          <a:off x="23813" y="5924550"/>
          <a:ext cx="13731498" cy="1852763"/>
          <a:chOff x="95250" y="3579019"/>
          <a:chExt cx="13695779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695779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86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86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869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392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1" name="Rahmen 10"/>
        <xdr:cNvSpPr/>
      </xdr:nvSpPr>
      <xdr:spPr>
        <a:xfrm>
          <a:off x="0" y="3633786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76711" y="0"/>
          <a:ext cx="3640933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25</xdr:row>
      <xdr:rowOff>102395</xdr:rowOff>
    </xdr:from>
    <xdr:to>
      <xdr:col>19</xdr:col>
      <xdr:colOff>420309</xdr:colOff>
      <xdr:row>33</xdr:row>
      <xdr:rowOff>145408</xdr:rowOff>
    </xdr:to>
    <xdr:grpSp>
      <xdr:nvGrpSpPr>
        <xdr:cNvPr id="2" name="Gruppieren 1"/>
        <xdr:cNvGrpSpPr/>
      </xdr:nvGrpSpPr>
      <xdr:grpSpPr>
        <a:xfrm>
          <a:off x="47624" y="5924551"/>
          <a:ext cx="13398123" cy="1852763"/>
          <a:chOff x="107156" y="4876801"/>
          <a:chExt cx="13362404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107156" y="6156060"/>
            <a:ext cx="13362404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6688" y="4981840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31998" y="4876801"/>
            <a:ext cx="4834938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630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154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</xdr:colOff>
      <xdr:row>0</xdr:row>
      <xdr:rowOff>28575</xdr:rowOff>
    </xdr:from>
    <xdr:to>
      <xdr:col>0</xdr:col>
      <xdr:colOff>1562100</xdr:colOff>
      <xdr:row>1</xdr:row>
      <xdr:rowOff>200025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47625" y="28575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47625</xdr:colOff>
      <xdr:row>15</xdr:row>
      <xdr:rowOff>95250</xdr:rowOff>
    </xdr:from>
    <xdr:to>
      <xdr:col>3</xdr:col>
      <xdr:colOff>821531</xdr:colOff>
      <xdr:row>20</xdr:row>
      <xdr:rowOff>23812</xdr:rowOff>
    </xdr:to>
    <xdr:sp macro="" textlink="">
      <xdr:nvSpPr>
        <xdr:cNvPr id="11" name="Rahmen 10"/>
        <xdr:cNvSpPr/>
      </xdr:nvSpPr>
      <xdr:spPr>
        <a:xfrm>
          <a:off x="47625" y="3657600"/>
          <a:ext cx="4088606" cy="1071562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71436</xdr:colOff>
      <xdr:row>0</xdr:row>
      <xdr:rowOff>47626</xdr:rowOff>
    </xdr:from>
    <xdr:to>
      <xdr:col>6</xdr:col>
      <xdr:colOff>1345405</xdr:colOff>
      <xdr:row>3</xdr:row>
      <xdr:rowOff>202407</xdr:rowOff>
    </xdr:to>
    <xdr:sp macro="" textlink="">
      <xdr:nvSpPr>
        <xdr:cNvPr id="12" name="Rahmen 11"/>
        <xdr:cNvSpPr/>
      </xdr:nvSpPr>
      <xdr:spPr>
        <a:xfrm>
          <a:off x="4224336" y="47626"/>
          <a:ext cx="3283744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90488</xdr:rowOff>
    </xdr:from>
    <xdr:to>
      <xdr:col>19</xdr:col>
      <xdr:colOff>372686</xdr:colOff>
      <xdr:row>33</xdr:row>
      <xdr:rowOff>133501</xdr:rowOff>
    </xdr:to>
    <xdr:grpSp>
      <xdr:nvGrpSpPr>
        <xdr:cNvPr id="2" name="Gruppieren 1"/>
        <xdr:cNvGrpSpPr/>
      </xdr:nvGrpSpPr>
      <xdr:grpSpPr>
        <a:xfrm>
          <a:off x="0" y="5912644"/>
          <a:ext cx="13326686" cy="1852763"/>
          <a:chOff x="95250" y="3579019"/>
          <a:chExt cx="13290967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290967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868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839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11" name="Rahmen 10"/>
        <xdr:cNvSpPr/>
      </xdr:nvSpPr>
      <xdr:spPr>
        <a:xfrm>
          <a:off x="0" y="3609974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1297780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76711" y="0"/>
          <a:ext cx="3283744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102394</xdr:rowOff>
    </xdr:from>
    <xdr:to>
      <xdr:col>19</xdr:col>
      <xdr:colOff>372686</xdr:colOff>
      <xdr:row>33</xdr:row>
      <xdr:rowOff>145407</xdr:rowOff>
    </xdr:to>
    <xdr:grpSp>
      <xdr:nvGrpSpPr>
        <xdr:cNvPr id="2" name="Gruppieren 1"/>
        <xdr:cNvGrpSpPr/>
      </xdr:nvGrpSpPr>
      <xdr:grpSpPr>
        <a:xfrm>
          <a:off x="0" y="5924550"/>
          <a:ext cx="13743405" cy="1852763"/>
          <a:chOff x="95250" y="3579019"/>
          <a:chExt cx="13707686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707686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059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059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059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583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59530</xdr:rowOff>
    </xdr:from>
    <xdr:to>
      <xdr:col>3</xdr:col>
      <xdr:colOff>773906</xdr:colOff>
      <xdr:row>19</xdr:row>
      <xdr:rowOff>214311</xdr:rowOff>
    </xdr:to>
    <xdr:sp macro="" textlink="">
      <xdr:nvSpPr>
        <xdr:cNvPr id="11" name="Rahmen 10"/>
        <xdr:cNvSpPr/>
      </xdr:nvSpPr>
      <xdr:spPr>
        <a:xfrm>
          <a:off x="0" y="3621880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47623</xdr:colOff>
      <xdr:row>0</xdr:row>
      <xdr:rowOff>0</xdr:rowOff>
    </xdr:from>
    <xdr:to>
      <xdr:col>6</xdr:col>
      <xdr:colOff>1678781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200523" y="0"/>
          <a:ext cx="3640933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90488</xdr:rowOff>
    </xdr:from>
    <xdr:to>
      <xdr:col>19</xdr:col>
      <xdr:colOff>384592</xdr:colOff>
      <xdr:row>33</xdr:row>
      <xdr:rowOff>133501</xdr:rowOff>
    </xdr:to>
    <xdr:grpSp>
      <xdr:nvGrpSpPr>
        <xdr:cNvPr id="2" name="Gruppieren 1"/>
        <xdr:cNvGrpSpPr/>
      </xdr:nvGrpSpPr>
      <xdr:grpSpPr>
        <a:xfrm>
          <a:off x="11906" y="5912644"/>
          <a:ext cx="13707686" cy="1852763"/>
          <a:chOff x="95250" y="3579019"/>
          <a:chExt cx="13671967" cy="18527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671967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20092" y="35790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678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678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678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0" name="Rahmen 9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1" name="Rahmen 10"/>
        <xdr:cNvSpPr/>
      </xdr:nvSpPr>
      <xdr:spPr>
        <a:xfrm>
          <a:off x="0" y="3633786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2" name="Rahmen 11"/>
        <xdr:cNvSpPr/>
      </xdr:nvSpPr>
      <xdr:spPr>
        <a:xfrm>
          <a:off x="4176711" y="0"/>
          <a:ext cx="3640933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5" name="Rahmen 4">
          <a:hlinkClick xmlns:r="http://schemas.openxmlformats.org/officeDocument/2006/relationships" r:id="rId1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47626</xdr:colOff>
      <xdr:row>22</xdr:row>
      <xdr:rowOff>59532</xdr:rowOff>
    </xdr:from>
    <xdr:to>
      <xdr:col>10</xdr:col>
      <xdr:colOff>166688</xdr:colOff>
      <xdr:row>27</xdr:row>
      <xdr:rowOff>11907</xdr:rowOff>
    </xdr:to>
    <xdr:sp macro="" textlink="">
      <xdr:nvSpPr>
        <xdr:cNvPr id="21" name="Rahmen 20"/>
        <xdr:cNvSpPr/>
      </xdr:nvSpPr>
      <xdr:spPr>
        <a:xfrm>
          <a:off x="47626" y="5279232"/>
          <a:ext cx="11434762" cy="1095375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22" name="Rahmen 21"/>
        <xdr:cNvSpPr/>
      </xdr:nvSpPr>
      <xdr:spPr>
        <a:xfrm>
          <a:off x="4686300" y="0"/>
          <a:ext cx="2712245" cy="8953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Streifenspritzdüsen</a:t>
          </a:r>
        </a:p>
      </xdr:txBody>
    </xdr:sp>
    <xdr:clientData/>
  </xdr:twoCellAnchor>
  <xdr:twoCellAnchor>
    <xdr:from>
      <xdr:col>2</xdr:col>
      <xdr:colOff>71437</xdr:colOff>
      <xdr:row>10</xdr:row>
      <xdr:rowOff>119063</xdr:rowOff>
    </xdr:from>
    <xdr:to>
      <xdr:col>3</xdr:col>
      <xdr:colOff>785812</xdr:colOff>
      <xdr:row>14</xdr:row>
      <xdr:rowOff>107157</xdr:rowOff>
    </xdr:to>
    <xdr:sp macro="" textlink="">
      <xdr:nvSpPr>
        <xdr:cNvPr id="23" name="Horizontales Scrollen 22"/>
        <xdr:cNvSpPr/>
      </xdr:nvSpPr>
      <xdr:spPr>
        <a:xfrm>
          <a:off x="2738437" y="2490788"/>
          <a:ext cx="1800225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23811</xdr:colOff>
      <xdr:row>16</xdr:row>
      <xdr:rowOff>35719</xdr:rowOff>
    </xdr:from>
    <xdr:to>
      <xdr:col>4</xdr:col>
      <xdr:colOff>547687</xdr:colOff>
      <xdr:row>20</xdr:row>
      <xdr:rowOff>23813</xdr:rowOff>
    </xdr:to>
    <xdr:sp macro="" textlink="">
      <xdr:nvSpPr>
        <xdr:cNvPr id="24" name="Horizontales Scrollen 23"/>
        <xdr:cNvSpPr/>
      </xdr:nvSpPr>
      <xdr:spPr>
        <a:xfrm>
          <a:off x="3776661" y="3836194"/>
          <a:ext cx="1362076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das behandelte Band bezogen</a:t>
          </a:r>
        </a:p>
      </xdr:txBody>
    </xdr:sp>
    <xdr:clientData/>
  </xdr:twoCellAnchor>
  <xdr:twoCellAnchor editAs="oneCell">
    <xdr:from>
      <xdr:col>5</xdr:col>
      <xdr:colOff>1143000</xdr:colOff>
      <xdr:row>12</xdr:row>
      <xdr:rowOff>59531</xdr:rowOff>
    </xdr:from>
    <xdr:to>
      <xdr:col>8</xdr:col>
      <xdr:colOff>369093</xdr:colOff>
      <xdr:row>18</xdr:row>
      <xdr:rowOff>238124</xdr:rowOff>
    </xdr:to>
    <xdr:pic>
      <xdr:nvPicPr>
        <xdr:cNvPr id="25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1131" b="16341"/>
        <a:stretch/>
      </xdr:blipFill>
      <xdr:spPr bwMode="auto">
        <a:xfrm>
          <a:off x="6488906" y="2905125"/>
          <a:ext cx="3905250" cy="1607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133350</xdr:rowOff>
    </xdr:from>
    <xdr:to>
      <xdr:col>19</xdr:col>
      <xdr:colOff>384592</xdr:colOff>
      <xdr:row>33</xdr:row>
      <xdr:rowOff>138263</xdr:rowOff>
    </xdr:to>
    <xdr:grpSp>
      <xdr:nvGrpSpPr>
        <xdr:cNvPr id="2" name="Gruppieren 1"/>
        <xdr:cNvGrpSpPr/>
      </xdr:nvGrpSpPr>
      <xdr:grpSpPr>
        <a:xfrm>
          <a:off x="11906" y="6026944"/>
          <a:ext cx="14112499" cy="1814663"/>
          <a:chOff x="95250" y="4419600"/>
          <a:chExt cx="13671967" cy="18146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5658378"/>
            <a:ext cx="13671967" cy="575885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4484158"/>
            <a:ext cx="4843850" cy="1102226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4419600"/>
            <a:ext cx="4827794" cy="1190027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02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547688</xdr:colOff>
      <xdr:row>14</xdr:row>
      <xdr:rowOff>202407</xdr:rowOff>
    </xdr:from>
    <xdr:to>
      <xdr:col>22</xdr:col>
      <xdr:colOff>130969</xdr:colOff>
      <xdr:row>19</xdr:row>
      <xdr:rowOff>95250</xdr:rowOff>
    </xdr:to>
    <xdr:sp macro="" textlink="">
      <xdr:nvSpPr>
        <xdr:cNvPr id="25" name="Rahmen 24"/>
        <xdr:cNvSpPr/>
      </xdr:nvSpPr>
      <xdr:spPr>
        <a:xfrm>
          <a:off x="5453063" y="3524251"/>
          <a:ext cx="9334500" cy="1083468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26" name="Rahmen 25"/>
        <xdr:cNvSpPr/>
      </xdr:nvSpPr>
      <xdr:spPr>
        <a:xfrm>
          <a:off x="4248150" y="0"/>
          <a:ext cx="2712245" cy="8953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Bandspritzdüsen</a:t>
          </a:r>
        </a:p>
      </xdr:txBody>
    </xdr:sp>
    <xdr:clientData/>
  </xdr:twoCellAnchor>
  <xdr:twoCellAnchor>
    <xdr:from>
      <xdr:col>2</xdr:col>
      <xdr:colOff>71437</xdr:colOff>
      <xdr:row>10</xdr:row>
      <xdr:rowOff>119063</xdr:rowOff>
    </xdr:from>
    <xdr:to>
      <xdr:col>3</xdr:col>
      <xdr:colOff>785812</xdr:colOff>
      <xdr:row>14</xdr:row>
      <xdr:rowOff>107157</xdr:rowOff>
    </xdr:to>
    <xdr:sp macro="" textlink="">
      <xdr:nvSpPr>
        <xdr:cNvPr id="27" name="Horizontales Scrollen 26"/>
        <xdr:cNvSpPr/>
      </xdr:nvSpPr>
      <xdr:spPr>
        <a:xfrm>
          <a:off x="2738437" y="2490788"/>
          <a:ext cx="1362075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23811</xdr:colOff>
      <xdr:row>16</xdr:row>
      <xdr:rowOff>35719</xdr:rowOff>
    </xdr:from>
    <xdr:to>
      <xdr:col>4</xdr:col>
      <xdr:colOff>547687</xdr:colOff>
      <xdr:row>20</xdr:row>
      <xdr:rowOff>23813</xdr:rowOff>
    </xdr:to>
    <xdr:sp macro="" textlink="">
      <xdr:nvSpPr>
        <xdr:cNvPr id="28" name="Horizontales Scrollen 27"/>
        <xdr:cNvSpPr/>
      </xdr:nvSpPr>
      <xdr:spPr>
        <a:xfrm>
          <a:off x="3338511" y="3836194"/>
          <a:ext cx="1362076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das behandelte Band bezogen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547687</xdr:colOff>
      <xdr:row>0</xdr:row>
      <xdr:rowOff>47625</xdr:rowOff>
    </xdr:from>
    <xdr:to>
      <xdr:col>14</xdr:col>
      <xdr:colOff>242096</xdr:colOff>
      <xdr:row>3</xdr:row>
      <xdr:rowOff>206376</xdr:rowOff>
    </xdr:to>
    <xdr:sp macro="" textlink="">
      <xdr:nvSpPr>
        <xdr:cNvPr id="3" name="Rahmen 2"/>
        <xdr:cNvSpPr/>
      </xdr:nvSpPr>
      <xdr:spPr>
        <a:xfrm>
          <a:off x="4071937" y="47625"/>
          <a:ext cx="11981659" cy="77787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Arbeitsbreite (m), Fahrgeschwindigkeit (km/h), Ausbringmenge (/ha) und die Gesamtanzahl der verbauten Düsen eingetragen werden. Danach bitte die Anzahl der einzelnen Düsen (bei gemischtem Düsensatz) nach Größe/Farbe eintragen, Daraus ergibt sich der Spritzdruck der gefahren werden muß</a:t>
          </a:r>
          <a:endParaRPr lang="de-DE" sz="12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59531</xdr:colOff>
      <xdr:row>10</xdr:row>
      <xdr:rowOff>74083</xdr:rowOff>
    </xdr:from>
    <xdr:to>
      <xdr:col>2</xdr:col>
      <xdr:colOff>556947</xdr:colOff>
      <xdr:row>15</xdr:row>
      <xdr:rowOff>169334</xdr:rowOff>
    </xdr:to>
    <xdr:sp macro="" textlink="">
      <xdr:nvSpPr>
        <xdr:cNvPr id="4" name="Rahmen 3"/>
        <xdr:cNvSpPr/>
      </xdr:nvSpPr>
      <xdr:spPr>
        <a:xfrm>
          <a:off x="59531" y="2371989"/>
          <a:ext cx="4021666" cy="1285876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Sind einzelne ATR (Hohlkegeldüsen)</a:t>
          </a:r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im Gerät</a:t>
          </a:r>
          <a:r>
            <a:rPr lang="de-DE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dann einfach von der ATR Farbe nach oben gehen um die entsprechende ISO Größe zu ermitteln. Wenn nur ATR drin sind einfach die Anzahl der Düsen eintragen</a:t>
          </a:r>
        </a:p>
      </xdr:txBody>
    </xdr:sp>
    <xdr:clientData/>
  </xdr:twoCellAnchor>
  <xdr:twoCellAnchor>
    <xdr:from>
      <xdr:col>7</xdr:col>
      <xdr:colOff>388936</xdr:colOff>
      <xdr:row>20</xdr:row>
      <xdr:rowOff>89958</xdr:rowOff>
    </xdr:from>
    <xdr:to>
      <xdr:col>11</xdr:col>
      <xdr:colOff>750093</xdr:colOff>
      <xdr:row>39</xdr:row>
      <xdr:rowOff>123032</xdr:rowOff>
    </xdr:to>
    <xdr:sp macro="" textlink="">
      <xdr:nvSpPr>
        <xdr:cNvPr id="5" name="Rahmen 4"/>
        <xdr:cNvSpPr/>
      </xdr:nvSpPr>
      <xdr:spPr>
        <a:xfrm>
          <a:off x="9282905" y="4733396"/>
          <a:ext cx="4314032" cy="3902605"/>
        </a:xfrm>
        <a:prstGeom prst="bevel">
          <a:avLst>
            <a:gd name="adj" fmla="val 6720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Bsp.:</a:t>
          </a:r>
          <a:r>
            <a:rPr lang="de-DE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Dragone Sprühkanone</a:t>
          </a:r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  <a:p>
          <a:pPr algn="l"/>
          <a:endParaRPr lang="de-DE" sz="12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</a:t>
          </a:r>
        </a:p>
        <a:p>
          <a:pPr algn="l"/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4 x IDK 90 03 (ISO)</a:t>
          </a:r>
        </a:p>
        <a:p>
          <a:pPr algn="l"/>
          <a:endParaRPr lang="de-DE" sz="12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de-DE" sz="12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4 x IDK 90 015 (ISO)</a:t>
          </a:r>
        </a:p>
        <a:p>
          <a:pPr algn="l"/>
          <a:endParaRPr lang="de-DE" sz="12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de-DE" sz="12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de-DE" sz="12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3 x ATR orange</a:t>
          </a:r>
        </a:p>
        <a:p>
          <a:pPr algn="l"/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(entspricht ISO gelb</a:t>
          </a:r>
        </a:p>
        <a:p>
          <a:pPr algn="l"/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= 3 x ITR 02)</a:t>
          </a:r>
        </a:p>
        <a:p>
          <a:pPr algn="l"/>
          <a:endParaRPr lang="de-DE" sz="12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de-DE" sz="12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		      bei 15 m Arbeitsbreite 		      3,5 km/h, 200 l/ha und 11 Düsen ergibt sich ein Spritzdruck von 10 bar</a:t>
          </a:r>
          <a:endParaRPr lang="de-DE" sz="12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734515</xdr:colOff>
      <xdr:row>22</xdr:row>
      <xdr:rowOff>153026</xdr:rowOff>
    </xdr:from>
    <xdr:to>
      <xdr:col>9</xdr:col>
      <xdr:colOff>757529</xdr:colOff>
      <xdr:row>36</xdr:row>
      <xdr:rowOff>31979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8484" y="5225089"/>
          <a:ext cx="1999451" cy="2724546"/>
        </a:xfrm>
        <a:prstGeom prst="rect">
          <a:avLst/>
        </a:prstGeom>
      </xdr:spPr>
    </xdr:pic>
    <xdr:clientData/>
  </xdr:twoCellAnchor>
  <xdr:twoCellAnchor>
    <xdr:from>
      <xdr:col>0</xdr:col>
      <xdr:colOff>484186</xdr:colOff>
      <xdr:row>0</xdr:row>
      <xdr:rowOff>89958</xdr:rowOff>
    </xdr:from>
    <xdr:to>
      <xdr:col>0</xdr:col>
      <xdr:colOff>1998661</xdr:colOff>
      <xdr:row>2</xdr:row>
      <xdr:rowOff>70908</xdr:rowOff>
    </xdr:to>
    <xdr:sp macro="" textlink="">
      <xdr:nvSpPr>
        <xdr:cNvPr id="8" name="Rahmen 7">
          <a:hlinkClick xmlns:r="http://schemas.openxmlformats.org/officeDocument/2006/relationships" r:id="rId2"/>
        </xdr:cNvPr>
        <xdr:cNvSpPr/>
      </xdr:nvSpPr>
      <xdr:spPr>
        <a:xfrm>
          <a:off x="484186" y="89958"/>
          <a:ext cx="1514475" cy="397669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1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583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47626</xdr:colOff>
      <xdr:row>22</xdr:row>
      <xdr:rowOff>59532</xdr:rowOff>
    </xdr:from>
    <xdr:to>
      <xdr:col>10</xdr:col>
      <xdr:colOff>166688</xdr:colOff>
      <xdr:row>27</xdr:row>
      <xdr:rowOff>11907</xdr:rowOff>
    </xdr:to>
    <xdr:sp macro="" textlink="">
      <xdr:nvSpPr>
        <xdr:cNvPr id="25" name="Rahmen 24"/>
        <xdr:cNvSpPr/>
      </xdr:nvSpPr>
      <xdr:spPr>
        <a:xfrm>
          <a:off x="47626" y="5274470"/>
          <a:ext cx="11049000" cy="1083468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26" name="Rahmen 25"/>
        <xdr:cNvSpPr/>
      </xdr:nvSpPr>
      <xdr:spPr>
        <a:xfrm>
          <a:off x="4686300" y="0"/>
          <a:ext cx="2712245" cy="8953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Streifenspritzdüsen</a:t>
          </a:r>
        </a:p>
      </xdr:txBody>
    </xdr:sp>
    <xdr:clientData/>
  </xdr:twoCellAnchor>
  <xdr:twoCellAnchor>
    <xdr:from>
      <xdr:col>2</xdr:col>
      <xdr:colOff>71437</xdr:colOff>
      <xdr:row>10</xdr:row>
      <xdr:rowOff>119063</xdr:rowOff>
    </xdr:from>
    <xdr:to>
      <xdr:col>3</xdr:col>
      <xdr:colOff>785812</xdr:colOff>
      <xdr:row>14</xdr:row>
      <xdr:rowOff>107157</xdr:rowOff>
    </xdr:to>
    <xdr:sp macro="" textlink="">
      <xdr:nvSpPr>
        <xdr:cNvPr id="27" name="Horizontales Scrollen 26"/>
        <xdr:cNvSpPr/>
      </xdr:nvSpPr>
      <xdr:spPr>
        <a:xfrm>
          <a:off x="2738437" y="2490788"/>
          <a:ext cx="1800225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23811</xdr:colOff>
      <xdr:row>16</xdr:row>
      <xdr:rowOff>35719</xdr:rowOff>
    </xdr:from>
    <xdr:to>
      <xdr:col>4</xdr:col>
      <xdr:colOff>547687</xdr:colOff>
      <xdr:row>20</xdr:row>
      <xdr:rowOff>23813</xdr:rowOff>
    </xdr:to>
    <xdr:sp macro="" textlink="">
      <xdr:nvSpPr>
        <xdr:cNvPr id="28" name="Horizontales Scrollen 27"/>
        <xdr:cNvSpPr/>
      </xdr:nvSpPr>
      <xdr:spPr>
        <a:xfrm>
          <a:off x="3776661" y="3836194"/>
          <a:ext cx="1362076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das behandelte Band bezogen</a:t>
          </a:r>
        </a:p>
      </xdr:txBody>
    </xdr:sp>
    <xdr:clientData/>
  </xdr:twoCellAnchor>
  <xdr:twoCellAnchor editAs="oneCell">
    <xdr:from>
      <xdr:col>5</xdr:col>
      <xdr:colOff>1000126</xdr:colOff>
      <xdr:row>12</xdr:row>
      <xdr:rowOff>71437</xdr:rowOff>
    </xdr:from>
    <xdr:to>
      <xdr:col>8</xdr:col>
      <xdr:colOff>226219</xdr:colOff>
      <xdr:row>19</xdr:row>
      <xdr:rowOff>11905</xdr:rowOff>
    </xdr:to>
    <xdr:pic>
      <xdr:nvPicPr>
        <xdr:cNvPr id="29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1131" b="16341"/>
        <a:stretch/>
      </xdr:blipFill>
      <xdr:spPr bwMode="auto">
        <a:xfrm>
          <a:off x="6346032" y="2917031"/>
          <a:ext cx="3905250" cy="1607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111919</xdr:rowOff>
    </xdr:from>
    <xdr:to>
      <xdr:col>19</xdr:col>
      <xdr:colOff>372685</xdr:colOff>
      <xdr:row>33</xdr:row>
      <xdr:rowOff>116832</xdr:rowOff>
    </xdr:to>
    <xdr:grpSp>
      <xdr:nvGrpSpPr>
        <xdr:cNvPr id="2" name="Gruppieren 1"/>
        <xdr:cNvGrpSpPr/>
      </xdr:nvGrpSpPr>
      <xdr:grpSpPr>
        <a:xfrm>
          <a:off x="0" y="6005513"/>
          <a:ext cx="14005341" cy="1814663"/>
          <a:chOff x="95250" y="3814763"/>
          <a:chExt cx="13410029" cy="18146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5055921"/>
            <a:ext cx="13410029" cy="573505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881702"/>
            <a:ext cx="4843850" cy="1099844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814763"/>
            <a:ext cx="4832556" cy="1192407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1" name="Rahmen 10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892968</xdr:colOff>
      <xdr:row>14</xdr:row>
      <xdr:rowOff>11906</xdr:rowOff>
    </xdr:from>
    <xdr:to>
      <xdr:col>23</xdr:col>
      <xdr:colOff>285749</xdr:colOff>
      <xdr:row>18</xdr:row>
      <xdr:rowOff>142874</xdr:rowOff>
    </xdr:to>
    <xdr:sp macro="" textlink="">
      <xdr:nvSpPr>
        <xdr:cNvPr id="30" name="Rahmen 29"/>
        <xdr:cNvSpPr/>
      </xdr:nvSpPr>
      <xdr:spPr>
        <a:xfrm>
          <a:off x="5798343" y="3333750"/>
          <a:ext cx="9334500" cy="1083468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31" name="Rahmen 30"/>
        <xdr:cNvSpPr/>
      </xdr:nvSpPr>
      <xdr:spPr>
        <a:xfrm>
          <a:off x="4248150" y="0"/>
          <a:ext cx="2712245" cy="8953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Bandspritzdüsen</a:t>
          </a:r>
        </a:p>
      </xdr:txBody>
    </xdr:sp>
    <xdr:clientData/>
  </xdr:twoCellAnchor>
  <xdr:twoCellAnchor>
    <xdr:from>
      <xdr:col>2</xdr:col>
      <xdr:colOff>83344</xdr:colOff>
      <xdr:row>10</xdr:row>
      <xdr:rowOff>119062</xdr:rowOff>
    </xdr:from>
    <xdr:to>
      <xdr:col>3</xdr:col>
      <xdr:colOff>797719</xdr:colOff>
      <xdr:row>14</xdr:row>
      <xdr:rowOff>107156</xdr:rowOff>
    </xdr:to>
    <xdr:sp macro="" textlink="">
      <xdr:nvSpPr>
        <xdr:cNvPr id="32" name="Horizontales Scrollen 31"/>
        <xdr:cNvSpPr/>
      </xdr:nvSpPr>
      <xdr:spPr>
        <a:xfrm>
          <a:off x="2750344" y="2490787"/>
          <a:ext cx="1362075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35718</xdr:colOff>
      <xdr:row>16</xdr:row>
      <xdr:rowOff>35718</xdr:rowOff>
    </xdr:from>
    <xdr:to>
      <xdr:col>4</xdr:col>
      <xdr:colOff>559594</xdr:colOff>
      <xdr:row>20</xdr:row>
      <xdr:rowOff>23812</xdr:rowOff>
    </xdr:to>
    <xdr:sp macro="" textlink="">
      <xdr:nvSpPr>
        <xdr:cNvPr id="33" name="Horizontales Scrollen 32"/>
        <xdr:cNvSpPr/>
      </xdr:nvSpPr>
      <xdr:spPr>
        <a:xfrm>
          <a:off x="3350418" y="3836193"/>
          <a:ext cx="1362076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das behandelte Band bezogen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28</xdr:row>
      <xdr:rowOff>88104</xdr:rowOff>
    </xdr:from>
    <xdr:to>
      <xdr:col>19</xdr:col>
      <xdr:colOff>408404</xdr:colOff>
      <xdr:row>36</xdr:row>
      <xdr:rowOff>93017</xdr:rowOff>
    </xdr:to>
    <xdr:grpSp>
      <xdr:nvGrpSpPr>
        <xdr:cNvPr id="2" name="Gruppieren 1"/>
        <xdr:cNvGrpSpPr/>
      </xdr:nvGrpSpPr>
      <xdr:grpSpPr>
        <a:xfrm>
          <a:off x="35719" y="6660354"/>
          <a:ext cx="13255248" cy="1814663"/>
          <a:chOff x="95250" y="3957638"/>
          <a:chExt cx="12778998" cy="18146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5196415"/>
            <a:ext cx="12778998" cy="575886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4022195"/>
            <a:ext cx="4843850" cy="1102226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957638"/>
            <a:ext cx="4827794" cy="1190026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7534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3" name="Rahmen 12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5</xdr:col>
      <xdr:colOff>428625</xdr:colOff>
      <xdr:row>12</xdr:row>
      <xdr:rowOff>47625</xdr:rowOff>
    </xdr:from>
    <xdr:to>
      <xdr:col>24</xdr:col>
      <xdr:colOff>0</xdr:colOff>
      <xdr:row>16</xdr:row>
      <xdr:rowOff>178593</xdr:rowOff>
    </xdr:to>
    <xdr:sp macro="" textlink="">
      <xdr:nvSpPr>
        <xdr:cNvPr id="14" name="Rahmen 13"/>
        <xdr:cNvSpPr/>
      </xdr:nvSpPr>
      <xdr:spPr>
        <a:xfrm>
          <a:off x="5548313" y="2893219"/>
          <a:ext cx="9334500" cy="1083468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321468</xdr:colOff>
      <xdr:row>0</xdr:row>
      <xdr:rowOff>0</xdr:rowOff>
    </xdr:from>
    <xdr:to>
      <xdr:col>6</xdr:col>
      <xdr:colOff>881063</xdr:colOff>
      <xdr:row>3</xdr:row>
      <xdr:rowOff>190500</xdr:rowOff>
    </xdr:to>
    <xdr:sp macro="" textlink="">
      <xdr:nvSpPr>
        <xdr:cNvPr id="15" name="Rahmen 14"/>
        <xdr:cNvSpPr/>
      </xdr:nvSpPr>
      <xdr:spPr>
        <a:xfrm>
          <a:off x="4541043" y="0"/>
          <a:ext cx="2712245" cy="8953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Bandspritzdüsen</a:t>
          </a:r>
        </a:p>
      </xdr:txBody>
    </xdr:sp>
    <xdr:clientData/>
  </xdr:twoCellAnchor>
  <xdr:twoCellAnchor>
    <xdr:from>
      <xdr:col>2</xdr:col>
      <xdr:colOff>202407</xdr:colOff>
      <xdr:row>10</xdr:row>
      <xdr:rowOff>142875</xdr:rowOff>
    </xdr:from>
    <xdr:to>
      <xdr:col>4</xdr:col>
      <xdr:colOff>11907</xdr:colOff>
      <xdr:row>14</xdr:row>
      <xdr:rowOff>130969</xdr:rowOff>
    </xdr:to>
    <xdr:sp macro="" textlink="">
      <xdr:nvSpPr>
        <xdr:cNvPr id="16" name="Horizontales Scrollen 15"/>
        <xdr:cNvSpPr/>
      </xdr:nvSpPr>
      <xdr:spPr>
        <a:xfrm>
          <a:off x="2869407" y="2514600"/>
          <a:ext cx="1362075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83344</xdr:colOff>
      <xdr:row>16</xdr:row>
      <xdr:rowOff>59531</xdr:rowOff>
    </xdr:from>
    <xdr:to>
      <xdr:col>4</xdr:col>
      <xdr:colOff>607219</xdr:colOff>
      <xdr:row>20</xdr:row>
      <xdr:rowOff>47625</xdr:rowOff>
    </xdr:to>
    <xdr:sp macro="" textlink="">
      <xdr:nvSpPr>
        <xdr:cNvPr id="17" name="Horizontales Scrollen 16"/>
        <xdr:cNvSpPr/>
      </xdr:nvSpPr>
      <xdr:spPr>
        <a:xfrm>
          <a:off x="3464719" y="3860006"/>
          <a:ext cx="1362075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das behandelte Band bezogen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123825</xdr:rowOff>
    </xdr:from>
    <xdr:to>
      <xdr:col>19</xdr:col>
      <xdr:colOff>372685</xdr:colOff>
      <xdr:row>33</xdr:row>
      <xdr:rowOff>128738</xdr:rowOff>
    </xdr:to>
    <xdr:grpSp>
      <xdr:nvGrpSpPr>
        <xdr:cNvPr id="2" name="Gruppieren 1"/>
        <xdr:cNvGrpSpPr/>
      </xdr:nvGrpSpPr>
      <xdr:grpSpPr>
        <a:xfrm>
          <a:off x="0" y="6017419"/>
          <a:ext cx="13231435" cy="1814663"/>
          <a:chOff x="95250" y="3814763"/>
          <a:chExt cx="12790904" cy="18146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5055921"/>
            <a:ext cx="12790904" cy="573505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881702"/>
            <a:ext cx="4843850" cy="1099844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814763"/>
            <a:ext cx="4827794" cy="1192407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11" name="Rahmen 10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3439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988219</xdr:colOff>
      <xdr:row>15</xdr:row>
      <xdr:rowOff>35719</xdr:rowOff>
    </xdr:from>
    <xdr:to>
      <xdr:col>25</xdr:col>
      <xdr:colOff>95250</xdr:colOff>
      <xdr:row>19</xdr:row>
      <xdr:rowOff>166687</xdr:rowOff>
    </xdr:to>
    <xdr:sp macro="" textlink="">
      <xdr:nvSpPr>
        <xdr:cNvPr id="19" name="Rahmen 18"/>
        <xdr:cNvSpPr/>
      </xdr:nvSpPr>
      <xdr:spPr>
        <a:xfrm>
          <a:off x="5893594" y="3595688"/>
          <a:ext cx="9334500" cy="1083468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20" name="Rahmen 19"/>
        <xdr:cNvSpPr/>
      </xdr:nvSpPr>
      <xdr:spPr>
        <a:xfrm>
          <a:off x="4248150" y="0"/>
          <a:ext cx="2712245" cy="8953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Bandspritzdüsen</a:t>
          </a:r>
        </a:p>
      </xdr:txBody>
    </xdr:sp>
    <xdr:clientData/>
  </xdr:twoCellAnchor>
  <xdr:twoCellAnchor>
    <xdr:from>
      <xdr:col>2</xdr:col>
      <xdr:colOff>95250</xdr:colOff>
      <xdr:row>10</xdr:row>
      <xdr:rowOff>130968</xdr:rowOff>
    </xdr:from>
    <xdr:to>
      <xdr:col>3</xdr:col>
      <xdr:colOff>809625</xdr:colOff>
      <xdr:row>14</xdr:row>
      <xdr:rowOff>119062</xdr:rowOff>
    </xdr:to>
    <xdr:sp macro="" textlink="">
      <xdr:nvSpPr>
        <xdr:cNvPr id="21" name="Horizontales Scrollen 20"/>
        <xdr:cNvSpPr/>
      </xdr:nvSpPr>
      <xdr:spPr>
        <a:xfrm>
          <a:off x="2762250" y="2502693"/>
          <a:ext cx="1362075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47624</xdr:colOff>
      <xdr:row>16</xdr:row>
      <xdr:rowOff>47624</xdr:rowOff>
    </xdr:from>
    <xdr:to>
      <xdr:col>4</xdr:col>
      <xdr:colOff>571500</xdr:colOff>
      <xdr:row>20</xdr:row>
      <xdr:rowOff>35718</xdr:rowOff>
    </xdr:to>
    <xdr:sp macro="" textlink="">
      <xdr:nvSpPr>
        <xdr:cNvPr id="22" name="Horizontales Scrollen 21"/>
        <xdr:cNvSpPr/>
      </xdr:nvSpPr>
      <xdr:spPr>
        <a:xfrm>
          <a:off x="3362324" y="3848099"/>
          <a:ext cx="1362076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das behandelte Band bezogen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169069</xdr:rowOff>
    </xdr:from>
    <xdr:to>
      <xdr:col>19</xdr:col>
      <xdr:colOff>372685</xdr:colOff>
      <xdr:row>33</xdr:row>
      <xdr:rowOff>173982</xdr:rowOff>
    </xdr:to>
    <xdr:grpSp>
      <xdr:nvGrpSpPr>
        <xdr:cNvPr id="2" name="Gruppieren 1"/>
        <xdr:cNvGrpSpPr/>
      </xdr:nvGrpSpPr>
      <xdr:grpSpPr>
        <a:xfrm>
          <a:off x="0" y="6062663"/>
          <a:ext cx="14005341" cy="1814663"/>
          <a:chOff x="95250" y="4419600"/>
          <a:chExt cx="13410029" cy="18146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5658378"/>
            <a:ext cx="13410029" cy="575885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4484158"/>
            <a:ext cx="4843850" cy="1102226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4419600"/>
            <a:ext cx="4832556" cy="1190027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2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89535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833437</xdr:colOff>
      <xdr:row>15</xdr:row>
      <xdr:rowOff>0</xdr:rowOff>
    </xdr:from>
    <xdr:to>
      <xdr:col>23</xdr:col>
      <xdr:colOff>226218</xdr:colOff>
      <xdr:row>19</xdr:row>
      <xdr:rowOff>130968</xdr:rowOff>
    </xdr:to>
    <xdr:sp macro="" textlink="">
      <xdr:nvSpPr>
        <xdr:cNvPr id="22" name="Rahmen 21"/>
        <xdr:cNvSpPr/>
      </xdr:nvSpPr>
      <xdr:spPr>
        <a:xfrm>
          <a:off x="5738812" y="3559969"/>
          <a:ext cx="9334500" cy="1083468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23" name="Rahmen 22"/>
        <xdr:cNvSpPr/>
      </xdr:nvSpPr>
      <xdr:spPr>
        <a:xfrm>
          <a:off x="4248150" y="0"/>
          <a:ext cx="2712245" cy="8953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Bandspritzdüsen</a:t>
          </a:r>
        </a:p>
      </xdr:txBody>
    </xdr:sp>
    <xdr:clientData/>
  </xdr:twoCellAnchor>
  <xdr:twoCellAnchor>
    <xdr:from>
      <xdr:col>2</xdr:col>
      <xdr:colOff>107156</xdr:colOff>
      <xdr:row>10</xdr:row>
      <xdr:rowOff>142875</xdr:rowOff>
    </xdr:from>
    <xdr:to>
      <xdr:col>3</xdr:col>
      <xdr:colOff>821531</xdr:colOff>
      <xdr:row>14</xdr:row>
      <xdr:rowOff>130969</xdr:rowOff>
    </xdr:to>
    <xdr:sp macro="" textlink="">
      <xdr:nvSpPr>
        <xdr:cNvPr id="24" name="Horizontales Scrollen 23"/>
        <xdr:cNvSpPr/>
      </xdr:nvSpPr>
      <xdr:spPr>
        <a:xfrm>
          <a:off x="2774156" y="2514600"/>
          <a:ext cx="1362075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59530</xdr:colOff>
      <xdr:row>16</xdr:row>
      <xdr:rowOff>59531</xdr:rowOff>
    </xdr:from>
    <xdr:to>
      <xdr:col>4</xdr:col>
      <xdr:colOff>583406</xdr:colOff>
      <xdr:row>20</xdr:row>
      <xdr:rowOff>47625</xdr:rowOff>
    </xdr:to>
    <xdr:sp macro="" textlink="">
      <xdr:nvSpPr>
        <xdr:cNvPr id="25" name="Horizontales Scrollen 24"/>
        <xdr:cNvSpPr/>
      </xdr:nvSpPr>
      <xdr:spPr>
        <a:xfrm>
          <a:off x="3374230" y="3860006"/>
          <a:ext cx="1362076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das behandelte Band bezogen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128588</xdr:rowOff>
    </xdr:from>
    <xdr:to>
      <xdr:col>19</xdr:col>
      <xdr:colOff>372686</xdr:colOff>
      <xdr:row>33</xdr:row>
      <xdr:rowOff>133501</xdr:rowOff>
    </xdr:to>
    <xdr:grpSp>
      <xdr:nvGrpSpPr>
        <xdr:cNvPr id="2" name="Gruppieren 1"/>
        <xdr:cNvGrpSpPr/>
      </xdr:nvGrpSpPr>
      <xdr:grpSpPr>
        <a:xfrm>
          <a:off x="0" y="5950744"/>
          <a:ext cx="13505280" cy="1814663"/>
          <a:chOff x="95250" y="3617119"/>
          <a:chExt cx="13469561" cy="18146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469561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6171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46785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02017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10" name="Rahmen 9"/>
        <xdr:cNvSpPr/>
      </xdr:nvSpPr>
      <xdr:spPr>
        <a:xfrm>
          <a:off x="0" y="3609974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1297780</xdr:colOff>
      <xdr:row>3</xdr:row>
      <xdr:rowOff>154781</xdr:rowOff>
    </xdr:to>
    <xdr:sp macro="" textlink="">
      <xdr:nvSpPr>
        <xdr:cNvPr id="11" name="Rahmen 10"/>
        <xdr:cNvSpPr/>
      </xdr:nvSpPr>
      <xdr:spPr>
        <a:xfrm>
          <a:off x="4176711" y="0"/>
          <a:ext cx="3283744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Injektor-Flachstrahldüsen</a:t>
          </a:r>
          <a:b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128588</xdr:rowOff>
    </xdr:from>
    <xdr:to>
      <xdr:col>19</xdr:col>
      <xdr:colOff>384591</xdr:colOff>
      <xdr:row>33</xdr:row>
      <xdr:rowOff>133501</xdr:rowOff>
    </xdr:to>
    <xdr:grpSp>
      <xdr:nvGrpSpPr>
        <xdr:cNvPr id="2" name="Gruppieren 1"/>
        <xdr:cNvGrpSpPr/>
      </xdr:nvGrpSpPr>
      <xdr:grpSpPr>
        <a:xfrm>
          <a:off x="11906" y="5950744"/>
          <a:ext cx="13826748" cy="1814663"/>
          <a:chOff x="95250" y="3617119"/>
          <a:chExt cx="13791029" cy="18146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3791029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6171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917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7917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3440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0" name="Rahmen 9"/>
        <xdr:cNvSpPr/>
      </xdr:nvSpPr>
      <xdr:spPr>
        <a:xfrm>
          <a:off x="0" y="3633786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71435</xdr:colOff>
      <xdr:row>0</xdr:row>
      <xdr:rowOff>0</xdr:rowOff>
    </xdr:from>
    <xdr:to>
      <xdr:col>6</xdr:col>
      <xdr:colOff>1702593</xdr:colOff>
      <xdr:row>3</xdr:row>
      <xdr:rowOff>154781</xdr:rowOff>
    </xdr:to>
    <xdr:sp macro="" textlink="">
      <xdr:nvSpPr>
        <xdr:cNvPr id="11" name="Rahmen 10"/>
        <xdr:cNvSpPr/>
      </xdr:nvSpPr>
      <xdr:spPr>
        <a:xfrm>
          <a:off x="4224335" y="0"/>
          <a:ext cx="3640933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25</xdr:row>
      <xdr:rowOff>140494</xdr:rowOff>
    </xdr:from>
    <xdr:to>
      <xdr:col>19</xdr:col>
      <xdr:colOff>384591</xdr:colOff>
      <xdr:row>33</xdr:row>
      <xdr:rowOff>145407</xdr:rowOff>
    </xdr:to>
    <xdr:grpSp>
      <xdr:nvGrpSpPr>
        <xdr:cNvPr id="2" name="Gruppieren 1"/>
        <xdr:cNvGrpSpPr/>
      </xdr:nvGrpSpPr>
      <xdr:grpSpPr>
        <a:xfrm>
          <a:off x="11906" y="5962650"/>
          <a:ext cx="14100591" cy="1814663"/>
          <a:chOff x="95250" y="3617119"/>
          <a:chExt cx="14064873" cy="18146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95250" y="4858278"/>
            <a:ext cx="14064873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4782" y="3684058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210567" y="3617119"/>
            <a:ext cx="4827794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584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58400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6107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71436</xdr:rowOff>
    </xdr:from>
    <xdr:to>
      <xdr:col>3</xdr:col>
      <xdr:colOff>773906</xdr:colOff>
      <xdr:row>19</xdr:row>
      <xdr:rowOff>226217</xdr:rowOff>
    </xdr:to>
    <xdr:sp macro="" textlink="">
      <xdr:nvSpPr>
        <xdr:cNvPr id="10" name="Rahmen 9"/>
        <xdr:cNvSpPr/>
      </xdr:nvSpPr>
      <xdr:spPr>
        <a:xfrm>
          <a:off x="0" y="3633786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0</xdr:rowOff>
    </xdr:from>
    <xdr:to>
      <xdr:col>6</xdr:col>
      <xdr:colOff>1654969</xdr:colOff>
      <xdr:row>3</xdr:row>
      <xdr:rowOff>154781</xdr:rowOff>
    </xdr:to>
    <xdr:sp macro="" textlink="">
      <xdr:nvSpPr>
        <xdr:cNvPr id="11" name="Rahmen 10"/>
        <xdr:cNvSpPr/>
      </xdr:nvSpPr>
      <xdr:spPr>
        <a:xfrm>
          <a:off x="4176711" y="0"/>
          <a:ext cx="3640933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LANGE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3,0 bis 5,0 bar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5" name="Rahmen 4">
          <a:hlinkClick xmlns:r="http://schemas.openxmlformats.org/officeDocument/2006/relationships" r:id="rId1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47626</xdr:colOff>
      <xdr:row>22</xdr:row>
      <xdr:rowOff>59532</xdr:rowOff>
    </xdr:from>
    <xdr:to>
      <xdr:col>10</xdr:col>
      <xdr:colOff>166688</xdr:colOff>
      <xdr:row>27</xdr:row>
      <xdr:rowOff>11907</xdr:rowOff>
    </xdr:to>
    <xdr:sp macro="" textlink="">
      <xdr:nvSpPr>
        <xdr:cNvPr id="21" name="Rahmen 20"/>
        <xdr:cNvSpPr/>
      </xdr:nvSpPr>
      <xdr:spPr>
        <a:xfrm>
          <a:off x="47626" y="5279232"/>
          <a:ext cx="11434762" cy="1095375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22" name="Rahmen 21"/>
        <xdr:cNvSpPr/>
      </xdr:nvSpPr>
      <xdr:spPr>
        <a:xfrm>
          <a:off x="4686300" y="0"/>
          <a:ext cx="2712245" cy="8953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Streifenspritzdüsen</a:t>
          </a:r>
        </a:p>
      </xdr:txBody>
    </xdr:sp>
    <xdr:clientData/>
  </xdr:twoCellAnchor>
  <xdr:twoCellAnchor>
    <xdr:from>
      <xdr:col>2</xdr:col>
      <xdr:colOff>71437</xdr:colOff>
      <xdr:row>10</xdr:row>
      <xdr:rowOff>119063</xdr:rowOff>
    </xdr:from>
    <xdr:to>
      <xdr:col>3</xdr:col>
      <xdr:colOff>785812</xdr:colOff>
      <xdr:row>14</xdr:row>
      <xdr:rowOff>107157</xdr:rowOff>
    </xdr:to>
    <xdr:sp macro="" textlink="">
      <xdr:nvSpPr>
        <xdr:cNvPr id="23" name="Horizontales Scrollen 22"/>
        <xdr:cNvSpPr/>
      </xdr:nvSpPr>
      <xdr:spPr>
        <a:xfrm>
          <a:off x="2738437" y="2490788"/>
          <a:ext cx="1800225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23811</xdr:colOff>
      <xdr:row>16</xdr:row>
      <xdr:rowOff>35719</xdr:rowOff>
    </xdr:from>
    <xdr:to>
      <xdr:col>4</xdr:col>
      <xdr:colOff>547687</xdr:colOff>
      <xdr:row>20</xdr:row>
      <xdr:rowOff>23813</xdr:rowOff>
    </xdr:to>
    <xdr:sp macro="" textlink="">
      <xdr:nvSpPr>
        <xdr:cNvPr id="24" name="Horizontales Scrollen 23"/>
        <xdr:cNvSpPr/>
      </xdr:nvSpPr>
      <xdr:spPr>
        <a:xfrm>
          <a:off x="3776661" y="3836194"/>
          <a:ext cx="1362076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das behandelte Band bezogen</a:t>
          </a:r>
        </a:p>
      </xdr:txBody>
    </xdr:sp>
    <xdr:clientData/>
  </xdr:twoCellAnchor>
  <xdr:twoCellAnchor editAs="oneCell">
    <xdr:from>
      <xdr:col>5</xdr:col>
      <xdr:colOff>1238250</xdr:colOff>
      <xdr:row>11</xdr:row>
      <xdr:rowOff>178594</xdr:rowOff>
    </xdr:from>
    <xdr:to>
      <xdr:col>8</xdr:col>
      <xdr:colOff>464343</xdr:colOff>
      <xdr:row>18</xdr:row>
      <xdr:rowOff>119062</xdr:rowOff>
    </xdr:to>
    <xdr:pic>
      <xdr:nvPicPr>
        <xdr:cNvPr id="25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1131" b="16341"/>
        <a:stretch/>
      </xdr:blipFill>
      <xdr:spPr bwMode="auto">
        <a:xfrm>
          <a:off x="6584156" y="2786063"/>
          <a:ext cx="3905250" cy="1607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5" name="Rahmen 4">
          <a:hlinkClick xmlns:r="http://schemas.openxmlformats.org/officeDocument/2006/relationships" r:id="rId1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1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2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3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4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5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19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10</xdr:row>
      <xdr:rowOff>66675</xdr:rowOff>
    </xdr:to>
    <xdr:sp macro="" textlink="">
      <xdr:nvSpPr>
        <xdr:cNvPr id="20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100298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47626</xdr:colOff>
      <xdr:row>22</xdr:row>
      <xdr:rowOff>59532</xdr:rowOff>
    </xdr:from>
    <xdr:to>
      <xdr:col>10</xdr:col>
      <xdr:colOff>166688</xdr:colOff>
      <xdr:row>27</xdr:row>
      <xdr:rowOff>11907</xdr:rowOff>
    </xdr:to>
    <xdr:sp macro="" textlink="">
      <xdr:nvSpPr>
        <xdr:cNvPr id="21" name="Rahmen 20"/>
        <xdr:cNvSpPr/>
      </xdr:nvSpPr>
      <xdr:spPr>
        <a:xfrm>
          <a:off x="47626" y="5279232"/>
          <a:ext cx="11434762" cy="1095375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(l/ha), die Fahrgeschwindigkeit (km/h), Bandbreite (cm), der Reihenabstand (cm), die Schlaggröße (ha) und die PSM-Menge (l bzw. kg/ha) verändert werden </a:t>
          </a:r>
          <a:b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in den grünen Feldern wird der Anteil berechnet der angesetzt bzw. behandelt werden muss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0</xdr:row>
      <xdr:rowOff>0</xdr:rowOff>
    </xdr:from>
    <xdr:to>
      <xdr:col>6</xdr:col>
      <xdr:colOff>797720</xdr:colOff>
      <xdr:row>3</xdr:row>
      <xdr:rowOff>190500</xdr:rowOff>
    </xdr:to>
    <xdr:sp macro="" textlink="">
      <xdr:nvSpPr>
        <xdr:cNvPr id="22" name="Rahmen 21"/>
        <xdr:cNvSpPr/>
      </xdr:nvSpPr>
      <xdr:spPr>
        <a:xfrm>
          <a:off x="4686300" y="0"/>
          <a:ext cx="2712245" cy="895350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Streifenspritzdüsen</a:t>
          </a:r>
        </a:p>
      </xdr:txBody>
    </xdr:sp>
    <xdr:clientData/>
  </xdr:twoCellAnchor>
  <xdr:twoCellAnchor>
    <xdr:from>
      <xdr:col>2</xdr:col>
      <xdr:colOff>71437</xdr:colOff>
      <xdr:row>10</xdr:row>
      <xdr:rowOff>119063</xdr:rowOff>
    </xdr:from>
    <xdr:to>
      <xdr:col>3</xdr:col>
      <xdr:colOff>785812</xdr:colOff>
      <xdr:row>14</xdr:row>
      <xdr:rowOff>107157</xdr:rowOff>
    </xdr:to>
    <xdr:sp macro="" textlink="">
      <xdr:nvSpPr>
        <xdr:cNvPr id="23" name="Horizontales Scrollen 22"/>
        <xdr:cNvSpPr/>
      </xdr:nvSpPr>
      <xdr:spPr>
        <a:xfrm>
          <a:off x="2738437" y="2490788"/>
          <a:ext cx="1800225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die ges. Fläche bezogen</a:t>
          </a:r>
        </a:p>
      </xdr:txBody>
    </xdr:sp>
    <xdr:clientData/>
  </xdr:twoCellAnchor>
  <xdr:twoCellAnchor>
    <xdr:from>
      <xdr:col>3</xdr:col>
      <xdr:colOff>23811</xdr:colOff>
      <xdr:row>16</xdr:row>
      <xdr:rowOff>35719</xdr:rowOff>
    </xdr:from>
    <xdr:to>
      <xdr:col>4</xdr:col>
      <xdr:colOff>547687</xdr:colOff>
      <xdr:row>20</xdr:row>
      <xdr:rowOff>23813</xdr:rowOff>
    </xdr:to>
    <xdr:sp macro="" textlink="">
      <xdr:nvSpPr>
        <xdr:cNvPr id="24" name="Horizontales Scrollen 23"/>
        <xdr:cNvSpPr/>
      </xdr:nvSpPr>
      <xdr:spPr>
        <a:xfrm>
          <a:off x="3776661" y="3836194"/>
          <a:ext cx="1362076" cy="940594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l/ha auf das behandelte Band bezogen</a:t>
          </a:r>
        </a:p>
      </xdr:txBody>
    </xdr:sp>
    <xdr:clientData/>
  </xdr:twoCellAnchor>
  <xdr:twoCellAnchor editAs="oneCell">
    <xdr:from>
      <xdr:col>5</xdr:col>
      <xdr:colOff>1131094</xdr:colOff>
      <xdr:row>12</xdr:row>
      <xdr:rowOff>226218</xdr:rowOff>
    </xdr:from>
    <xdr:to>
      <xdr:col>8</xdr:col>
      <xdr:colOff>357187</xdr:colOff>
      <xdr:row>19</xdr:row>
      <xdr:rowOff>166686</xdr:rowOff>
    </xdr:to>
    <xdr:pic>
      <xdr:nvPicPr>
        <xdr:cNvPr id="25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1131" b="16341"/>
        <a:stretch/>
      </xdr:blipFill>
      <xdr:spPr bwMode="auto">
        <a:xfrm>
          <a:off x="6477000" y="3071812"/>
          <a:ext cx="3905250" cy="1607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25</xdr:row>
      <xdr:rowOff>152401</xdr:rowOff>
    </xdr:from>
    <xdr:to>
      <xdr:col>19</xdr:col>
      <xdr:colOff>408404</xdr:colOff>
      <xdr:row>33</xdr:row>
      <xdr:rowOff>157314</xdr:rowOff>
    </xdr:to>
    <xdr:grpSp>
      <xdr:nvGrpSpPr>
        <xdr:cNvPr id="2" name="Gruppieren 1"/>
        <xdr:cNvGrpSpPr/>
      </xdr:nvGrpSpPr>
      <xdr:grpSpPr>
        <a:xfrm>
          <a:off x="35719" y="5974557"/>
          <a:ext cx="13719591" cy="1814663"/>
          <a:chOff x="35719" y="5974557"/>
          <a:chExt cx="13683873" cy="1814663"/>
        </a:xfrm>
      </xdr:grpSpPr>
      <xdr:sp macro="" textlink="">
        <xdr:nvSpPr>
          <xdr:cNvPr id="3" name="AutoShape 8"/>
          <xdr:cNvSpPr>
            <a:spLocks noChangeArrowheads="1"/>
          </xdr:cNvSpPr>
        </xdr:nvSpPr>
        <xdr:spPr bwMode="auto">
          <a:xfrm>
            <a:off x="35719" y="7215716"/>
            <a:ext cx="13683873" cy="573504"/>
          </a:xfrm>
          <a:prstGeom prst="foldedCorner">
            <a:avLst>
              <a:gd name="adj" fmla="val 12500"/>
            </a:avLst>
          </a:prstGeom>
          <a:solidFill>
            <a:srgbClr xmlns:mc="http://schemas.openxmlformats.org/markup-compatibility/2006" xmlns:a14="http://schemas.microsoft.com/office/drawing/2010/main" val="FFFF99" mc:Ignorable="a14" a14:legacySpreadsheetColorIndex="43"/>
          </a:solidFill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Die Abdriftminderungsklasse kann nur dann erreicht werden, wenn mit den bei den Düsen angegebenen Drücken ein 20 m breiter Streifen zum wasserführenden Graben (NW) bzw. zur Hecke (NT) hin behandelt wird (In der übrigen Fläche sollte der Druck wieder erhöht werden, um die biologische Wirkung zu optimieren).</a:t>
            </a:r>
          </a:p>
        </xdr:txBody>
      </xdr:sp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51" y="6041496"/>
            <a:ext cx="4843850" cy="1099845"/>
          </a:xfrm>
          <a:prstGeom prst="rect">
            <a:avLst/>
          </a:prstGeom>
        </xdr:spPr>
      </xdr:pic>
      <xdr:pic>
        <xdr:nvPicPr>
          <xdr:cNvPr id="5" name="Grafik 4"/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51036" y="5974557"/>
            <a:ext cx="4837319" cy="1192408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6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97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7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97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10</xdr:row>
      <xdr:rowOff>66675</xdr:rowOff>
    </xdr:to>
    <xdr:sp macro="" textlink="">
      <xdr:nvSpPr>
        <xdr:cNvPr id="8" name="AutoShape 1" descr="Manometer 63mm für Feldspritze 0-5-25 bar Anschluß unten flüssigdüngerfest"/>
        <xdr:cNvSpPr>
          <a:spLocks noChangeAspect="1" noChangeArrowheads="1"/>
        </xdr:cNvSpPr>
      </xdr:nvSpPr>
      <xdr:spPr bwMode="auto">
        <a:xfrm>
          <a:off x="9229725" y="21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1514475</xdr:colOff>
      <xdr:row>1</xdr:row>
      <xdr:rowOff>171450</xdr:rowOff>
    </xdr:to>
    <xdr:sp macro="" textlink="">
      <xdr:nvSpPr>
        <xdr:cNvPr id="9" name="Rahmen 8">
          <a:hlinkClick xmlns:r="http://schemas.openxmlformats.org/officeDocument/2006/relationships" r:id="rId3"/>
        </xdr:cNvPr>
        <xdr:cNvSpPr/>
      </xdr:nvSpPr>
      <xdr:spPr>
        <a:xfrm>
          <a:off x="0" y="0"/>
          <a:ext cx="1514475" cy="400050"/>
        </a:xfrm>
        <a:prstGeom prst="bevel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600" b="1">
              <a:solidFill>
                <a:schemeClr val="tx1"/>
              </a:solidFill>
            </a:rPr>
            <a:t>ZURÜCK</a:t>
          </a:r>
        </a:p>
      </xdr:txBody>
    </xdr:sp>
    <xdr:clientData/>
  </xdr:twoCellAnchor>
  <xdr:twoCellAnchor>
    <xdr:from>
      <xdr:col>0</xdr:col>
      <xdr:colOff>0</xdr:colOff>
      <xdr:row>15</xdr:row>
      <xdr:rowOff>47624</xdr:rowOff>
    </xdr:from>
    <xdr:to>
      <xdr:col>3</xdr:col>
      <xdr:colOff>773906</xdr:colOff>
      <xdr:row>19</xdr:row>
      <xdr:rowOff>202405</xdr:rowOff>
    </xdr:to>
    <xdr:sp macro="" textlink="">
      <xdr:nvSpPr>
        <xdr:cNvPr id="10" name="Rahmen 9"/>
        <xdr:cNvSpPr/>
      </xdr:nvSpPr>
      <xdr:spPr>
        <a:xfrm>
          <a:off x="0" y="3609974"/>
          <a:ext cx="4088606" cy="1069181"/>
        </a:xfrm>
        <a:prstGeom prst="bevel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</a:t>
          </a:r>
          <a:r>
            <a:rPr lang="de-D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den gelben Feldern können die Wassermenge (l/ha) und die Fahrge-schwindigkeit (km/h) verändert werden</a:t>
          </a:r>
          <a:endParaRPr lang="de-D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23811</xdr:colOff>
      <xdr:row>0</xdr:row>
      <xdr:rowOff>35718</xdr:rowOff>
    </xdr:from>
    <xdr:to>
      <xdr:col>6</xdr:col>
      <xdr:colOff>1654969</xdr:colOff>
      <xdr:row>3</xdr:row>
      <xdr:rowOff>190499</xdr:rowOff>
    </xdr:to>
    <xdr:sp macro="" textlink="">
      <xdr:nvSpPr>
        <xdr:cNvPr id="11" name="Rahmen 10"/>
        <xdr:cNvSpPr/>
      </xdr:nvSpPr>
      <xdr:spPr>
        <a:xfrm>
          <a:off x="4176711" y="35718"/>
          <a:ext cx="3640933" cy="859631"/>
        </a:xfrm>
        <a:prstGeom prst="bevel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KURZE Injektor-Doppel-Flachstrahldüsen</a:t>
          </a:r>
          <a:br>
            <a:rPr lang="de-DE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opt. Druckbereich 2,0 bis 3,0 bar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Beratung/Beratung%20Gesam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Beratung\Kramer\Brenner\VIK\Transfer\PROMO\VIK\LFP\M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ramer/Brenner/VIK/Transfer/PROMO/VIK/LFP/M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Sicherung/Beratung/Beratu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en/Versuche/VK-Berechn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2"/>
      <sheetName val="Verschleiß"/>
      <sheetName val="Grimme"/>
      <sheetName val="Spritzkasten"/>
      <sheetName val="Gießwagen90%"/>
      <sheetName val="Wasseraufwand"/>
      <sheetName val="Unitab"/>
      <sheetName val="Mafex"/>
      <sheetName val="Pumpenleistung"/>
      <sheetName val="Droplegrechner"/>
      <sheetName val=" DynaJet"/>
      <sheetName val="vK Querverteilung"/>
      <sheetName val="Spritzbreite"/>
      <sheetName val="Gießwagen"/>
      <sheetName val="Konzentration"/>
      <sheetName val="Durchflussmesser"/>
      <sheetName val="Dreidüsengabel"/>
      <sheetName val="Fünfdüsengabel"/>
      <sheetName val="Mehrdüsengabel"/>
      <sheetName val="Formeln Bandspritze"/>
      <sheetName val="Formeln Feldspritze"/>
      <sheetName val="Rückenspritze Band"/>
      <sheetName val="Rücken Konz"/>
      <sheetName val="FlDgg"/>
      <sheetName val="Formeln Herbizidspritze Obstbau"/>
      <sheetName val="Spargel Herbi"/>
      <sheetName val="Weihnachtsbäume"/>
      <sheetName val="CombiSwing"/>
      <sheetName val="Formeln Obstbaum Kronen"/>
      <sheetName val="Umrechnungen Obstbau"/>
      <sheetName val="Formeln Obstbau Gemischt ISO"/>
      <sheetName val="Umrechnung ATR"/>
      <sheetName val="Formeln Obstbau LWA"/>
      <sheetName val="Formeln Obstbau"/>
      <sheetName val="Formeln Solitair"/>
      <sheetName val="Formeln Obstbau LWA alt"/>
      <sheetName val="Formeln Obstbau ATR"/>
      <sheetName val="Formeln Obstbau Gemischt ATR"/>
      <sheetName val="RAL I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5">
          <cell r="C15" t="str">
            <v/>
          </cell>
          <cell r="D15" t="str">
            <v/>
          </cell>
          <cell r="H15" t="str">
            <v/>
          </cell>
          <cell r="I15" t="str">
            <v/>
          </cell>
          <cell r="M15" t="str">
            <v/>
          </cell>
          <cell r="N15" t="str">
            <v/>
          </cell>
          <cell r="R15" t="str">
            <v/>
          </cell>
          <cell r="S15" t="str">
            <v/>
          </cell>
        </row>
        <row r="16">
          <cell r="C16" t="str">
            <v/>
          </cell>
          <cell r="D16" t="str">
            <v/>
          </cell>
          <cell r="H16" t="str">
            <v/>
          </cell>
          <cell r="I16" t="str">
            <v/>
          </cell>
          <cell r="M16" t="str">
            <v/>
          </cell>
          <cell r="N16" t="str">
            <v/>
          </cell>
          <cell r="R16" t="str">
            <v/>
          </cell>
          <cell r="S16" t="str">
            <v/>
          </cell>
        </row>
        <row r="17">
          <cell r="C17" t="str">
            <v/>
          </cell>
          <cell r="D17" t="str">
            <v/>
          </cell>
          <cell r="H17" t="str">
            <v/>
          </cell>
          <cell r="I17" t="str">
            <v/>
          </cell>
          <cell r="M17" t="str">
            <v/>
          </cell>
          <cell r="N17" t="str">
            <v/>
          </cell>
          <cell r="R17" t="str">
            <v/>
          </cell>
          <cell r="S17" t="str">
            <v/>
          </cell>
        </row>
        <row r="18">
          <cell r="C18" t="str">
            <v/>
          </cell>
          <cell r="D18" t="str">
            <v/>
          </cell>
          <cell r="H18" t="str">
            <v/>
          </cell>
          <cell r="I18" t="str">
            <v/>
          </cell>
          <cell r="M18" t="str">
            <v/>
          </cell>
          <cell r="N18" t="str">
            <v/>
          </cell>
          <cell r="R18" t="str">
            <v/>
          </cell>
          <cell r="S18" t="str">
            <v/>
          </cell>
        </row>
        <row r="19">
          <cell r="C19" t="str">
            <v/>
          </cell>
          <cell r="D19" t="str">
            <v/>
          </cell>
          <cell r="H19" t="str">
            <v/>
          </cell>
          <cell r="I19" t="str">
            <v/>
          </cell>
          <cell r="M19" t="str">
            <v/>
          </cell>
          <cell r="N19" t="str">
            <v/>
          </cell>
          <cell r="R19" t="str">
            <v/>
          </cell>
          <cell r="S19" t="str">
            <v/>
          </cell>
        </row>
        <row r="20">
          <cell r="C20" t="str">
            <v/>
          </cell>
          <cell r="D20" t="str">
            <v/>
          </cell>
          <cell r="H20" t="str">
            <v/>
          </cell>
          <cell r="I20" t="str">
            <v/>
          </cell>
          <cell r="M20" t="str">
            <v/>
          </cell>
          <cell r="N20" t="str">
            <v/>
          </cell>
          <cell r="R20" t="str">
            <v/>
          </cell>
          <cell r="S20" t="str">
            <v/>
          </cell>
        </row>
        <row r="21">
          <cell r="C21" t="str">
            <v/>
          </cell>
          <cell r="D21" t="str">
            <v/>
          </cell>
          <cell r="H21" t="str">
            <v/>
          </cell>
          <cell r="I21" t="str">
            <v/>
          </cell>
          <cell r="M21" t="str">
            <v/>
          </cell>
          <cell r="N21" t="str">
            <v/>
          </cell>
          <cell r="R21" t="str">
            <v/>
          </cell>
          <cell r="S21" t="str">
            <v/>
          </cell>
        </row>
        <row r="22">
          <cell r="C22" t="str">
            <v/>
          </cell>
          <cell r="D22" t="str">
            <v/>
          </cell>
          <cell r="H22" t="str">
            <v/>
          </cell>
          <cell r="I22" t="str">
            <v/>
          </cell>
          <cell r="M22" t="str">
            <v/>
          </cell>
          <cell r="N22" t="str">
            <v/>
          </cell>
          <cell r="R22" t="str">
            <v/>
          </cell>
          <cell r="S22" t="str">
            <v/>
          </cell>
        </row>
        <row r="23">
          <cell r="C23" t="str">
            <v/>
          </cell>
          <cell r="D23" t="str">
            <v/>
          </cell>
          <cell r="H23" t="str">
            <v/>
          </cell>
          <cell r="I23" t="str">
            <v/>
          </cell>
          <cell r="M23" t="str">
            <v/>
          </cell>
          <cell r="N23" t="str">
            <v/>
          </cell>
          <cell r="R23" t="str">
            <v/>
          </cell>
          <cell r="S23" t="str">
            <v/>
          </cell>
        </row>
        <row r="24">
          <cell r="C24" t="str">
            <v/>
          </cell>
          <cell r="D24" t="str">
            <v/>
          </cell>
          <cell r="H24" t="str">
            <v/>
          </cell>
          <cell r="I24" t="str">
            <v/>
          </cell>
          <cell r="M24" t="str">
            <v/>
          </cell>
          <cell r="N24" t="str">
            <v/>
          </cell>
          <cell r="R24" t="str">
            <v/>
          </cell>
          <cell r="S24" t="str">
            <v/>
          </cell>
        </row>
        <row r="25">
          <cell r="C25" t="str">
            <v/>
          </cell>
          <cell r="D25" t="str">
            <v/>
          </cell>
          <cell r="H25" t="str">
            <v/>
          </cell>
          <cell r="I25" t="str">
            <v/>
          </cell>
          <cell r="M25" t="str">
            <v/>
          </cell>
          <cell r="N25" t="str">
            <v/>
          </cell>
          <cell r="R25" t="str">
            <v/>
          </cell>
          <cell r="S25" t="str">
            <v/>
          </cell>
        </row>
        <row r="26">
          <cell r="C26" t="str">
            <v/>
          </cell>
          <cell r="D26" t="str">
            <v/>
          </cell>
          <cell r="H26" t="str">
            <v/>
          </cell>
          <cell r="I26" t="str">
            <v/>
          </cell>
          <cell r="M26" t="str">
            <v/>
          </cell>
          <cell r="N26" t="str">
            <v/>
          </cell>
          <cell r="R26" t="str">
            <v/>
          </cell>
          <cell r="S26" t="str">
            <v/>
          </cell>
        </row>
        <row r="27">
          <cell r="C27" t="str">
            <v/>
          </cell>
          <cell r="D27" t="str">
            <v/>
          </cell>
          <cell r="H27" t="str">
            <v/>
          </cell>
          <cell r="I27" t="str">
            <v/>
          </cell>
          <cell r="M27" t="str">
            <v/>
          </cell>
          <cell r="N27" t="str">
            <v/>
          </cell>
          <cell r="R27" t="str">
            <v/>
          </cell>
          <cell r="S27" t="str">
            <v/>
          </cell>
        </row>
        <row r="28">
          <cell r="C28" t="str">
            <v/>
          </cell>
          <cell r="D28" t="str">
            <v/>
          </cell>
          <cell r="H28" t="str">
            <v/>
          </cell>
          <cell r="I28" t="str">
            <v/>
          </cell>
          <cell r="M28" t="str">
            <v/>
          </cell>
          <cell r="N28" t="str">
            <v/>
          </cell>
          <cell r="R28" t="str">
            <v/>
          </cell>
          <cell r="S28" t="str">
            <v/>
          </cell>
        </row>
        <row r="29">
          <cell r="C29" t="str">
            <v/>
          </cell>
          <cell r="D29" t="str">
            <v/>
          </cell>
          <cell r="H29" t="str">
            <v/>
          </cell>
          <cell r="I29" t="str">
            <v/>
          </cell>
          <cell r="M29" t="str">
            <v/>
          </cell>
          <cell r="N29" t="str">
            <v/>
          </cell>
          <cell r="R29" t="str">
            <v/>
          </cell>
          <cell r="S29" t="str">
            <v/>
          </cell>
        </row>
        <row r="30">
          <cell r="C30" t="str">
            <v/>
          </cell>
          <cell r="D30" t="str">
            <v/>
          </cell>
          <cell r="H30" t="str">
            <v/>
          </cell>
          <cell r="I30" t="str">
            <v/>
          </cell>
          <cell r="M30" t="str">
            <v/>
          </cell>
          <cell r="N30" t="str">
            <v/>
          </cell>
          <cell r="R30" t="str">
            <v/>
          </cell>
          <cell r="S30" t="str">
            <v/>
          </cell>
        </row>
        <row r="31">
          <cell r="C31" t="str">
            <v/>
          </cell>
          <cell r="D31" t="str">
            <v/>
          </cell>
          <cell r="H31" t="str">
            <v/>
          </cell>
          <cell r="I31" t="str">
            <v/>
          </cell>
          <cell r="M31" t="str">
            <v/>
          </cell>
          <cell r="N31" t="str">
            <v/>
          </cell>
          <cell r="R31" t="str">
            <v/>
          </cell>
          <cell r="S31" t="str">
            <v/>
          </cell>
        </row>
        <row r="32">
          <cell r="C32" t="str">
            <v/>
          </cell>
          <cell r="D32" t="str">
            <v/>
          </cell>
          <cell r="H32" t="str">
            <v/>
          </cell>
          <cell r="I32" t="str">
            <v/>
          </cell>
          <cell r="M32" t="str">
            <v/>
          </cell>
          <cell r="N32" t="str">
            <v/>
          </cell>
          <cell r="R32" t="str">
            <v/>
          </cell>
          <cell r="S32" t="str">
            <v/>
          </cell>
        </row>
        <row r="33">
          <cell r="C33" t="str">
            <v/>
          </cell>
          <cell r="D33" t="str">
            <v/>
          </cell>
          <cell r="H33" t="str">
            <v/>
          </cell>
          <cell r="I33" t="str">
            <v/>
          </cell>
          <cell r="M33" t="str">
            <v/>
          </cell>
          <cell r="N33" t="str">
            <v/>
          </cell>
          <cell r="R33" t="str">
            <v/>
          </cell>
          <cell r="S33" t="str">
            <v/>
          </cell>
        </row>
        <row r="34">
          <cell r="C34" t="str">
            <v/>
          </cell>
          <cell r="D34" t="str">
            <v/>
          </cell>
          <cell r="H34" t="str">
            <v/>
          </cell>
          <cell r="I34" t="str">
            <v/>
          </cell>
          <cell r="M34" t="str">
            <v/>
          </cell>
          <cell r="N34" t="str">
            <v/>
          </cell>
          <cell r="R34" t="str">
            <v/>
          </cell>
          <cell r="S34" t="str">
            <v/>
          </cell>
        </row>
        <row r="35">
          <cell r="C35" t="str">
            <v/>
          </cell>
          <cell r="D35" t="str">
            <v/>
          </cell>
          <cell r="H35" t="str">
            <v/>
          </cell>
          <cell r="I35" t="str">
            <v/>
          </cell>
          <cell r="M35" t="str">
            <v/>
          </cell>
          <cell r="N35" t="str">
            <v/>
          </cell>
          <cell r="R35" t="str">
            <v/>
          </cell>
          <cell r="S35" t="str">
            <v/>
          </cell>
        </row>
        <row r="36">
          <cell r="C36" t="str">
            <v/>
          </cell>
          <cell r="D36" t="str">
            <v/>
          </cell>
          <cell r="H36" t="str">
            <v/>
          </cell>
          <cell r="I36" t="str">
            <v/>
          </cell>
          <cell r="M36" t="str">
            <v/>
          </cell>
          <cell r="N36" t="str">
            <v/>
          </cell>
          <cell r="R36" t="str">
            <v/>
          </cell>
          <cell r="S36" t="str">
            <v/>
          </cell>
        </row>
        <row r="37">
          <cell r="C37" t="str">
            <v/>
          </cell>
          <cell r="D37" t="str">
            <v/>
          </cell>
          <cell r="H37" t="str">
            <v/>
          </cell>
          <cell r="I37" t="str">
            <v/>
          </cell>
          <cell r="M37" t="str">
            <v/>
          </cell>
          <cell r="N37" t="str">
            <v/>
          </cell>
          <cell r="R37" t="str">
            <v/>
          </cell>
          <cell r="S37" t="str">
            <v/>
          </cell>
        </row>
        <row r="38"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  <cell r="M38" t="str">
            <v/>
          </cell>
          <cell r="N38" t="str">
            <v/>
          </cell>
          <cell r="R38" t="str">
            <v/>
          </cell>
          <cell r="S38" t="str">
            <v/>
          </cell>
        </row>
        <row r="39"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  <cell r="M39" t="str">
            <v/>
          </cell>
          <cell r="N39" t="str">
            <v/>
          </cell>
          <cell r="R39" t="str">
            <v/>
          </cell>
          <cell r="S39" t="str">
            <v/>
          </cell>
        </row>
        <row r="40"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  <cell r="M40" t="str">
            <v/>
          </cell>
          <cell r="N40" t="str">
            <v/>
          </cell>
          <cell r="R40" t="str">
            <v/>
          </cell>
          <cell r="S40" t="str">
            <v/>
          </cell>
        </row>
        <row r="41"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  <cell r="M41" t="str">
            <v/>
          </cell>
          <cell r="N41" t="str">
            <v/>
          </cell>
          <cell r="R41" t="str">
            <v/>
          </cell>
          <cell r="S41" t="str">
            <v/>
          </cell>
        </row>
        <row r="42"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  <cell r="M42" t="str">
            <v/>
          </cell>
          <cell r="N42" t="str">
            <v/>
          </cell>
          <cell r="R42" t="str">
            <v/>
          </cell>
          <cell r="S42" t="str">
            <v/>
          </cell>
        </row>
        <row r="43"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  <cell r="M43" t="str">
            <v/>
          </cell>
          <cell r="N43" t="str">
            <v/>
          </cell>
          <cell r="R43" t="str">
            <v/>
          </cell>
          <cell r="S43" t="str">
            <v/>
          </cell>
        </row>
        <row r="44"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  <cell r="M44" t="str">
            <v/>
          </cell>
          <cell r="N44" t="str">
            <v/>
          </cell>
          <cell r="R44" t="str">
            <v/>
          </cell>
          <cell r="S44" t="str">
            <v/>
          </cell>
        </row>
        <row r="45"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  <cell r="M45" t="str">
            <v/>
          </cell>
          <cell r="N45" t="str">
            <v/>
          </cell>
          <cell r="R45" t="str">
            <v/>
          </cell>
          <cell r="S45" t="str">
            <v/>
          </cell>
        </row>
        <row r="46"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  <cell r="M46" t="str">
            <v/>
          </cell>
          <cell r="N46" t="str">
            <v/>
          </cell>
          <cell r="R46" t="str">
            <v/>
          </cell>
          <cell r="S46" t="str">
            <v/>
          </cell>
        </row>
        <row r="47"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  <cell r="M47" t="str">
            <v/>
          </cell>
          <cell r="N47" t="str">
            <v/>
          </cell>
          <cell r="R47" t="str">
            <v/>
          </cell>
          <cell r="S47" t="str">
            <v/>
          </cell>
        </row>
        <row r="48"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  <cell r="M48" t="str">
            <v/>
          </cell>
          <cell r="N48" t="str">
            <v/>
          </cell>
          <cell r="R48" t="str">
            <v/>
          </cell>
          <cell r="S48" t="str">
            <v/>
          </cell>
        </row>
        <row r="49"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  <cell r="M49" t="str">
            <v/>
          </cell>
          <cell r="N49" t="str">
            <v/>
          </cell>
          <cell r="R49" t="str">
            <v/>
          </cell>
          <cell r="S49" t="str">
            <v/>
          </cell>
        </row>
        <row r="50"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  <cell r="M50" t="str">
            <v/>
          </cell>
          <cell r="N50" t="str">
            <v/>
          </cell>
          <cell r="R50" t="str">
            <v/>
          </cell>
          <cell r="S50" t="str">
            <v/>
          </cell>
        </row>
        <row r="51">
          <cell r="C51" t="str">
            <v/>
          </cell>
          <cell r="D51" t="str">
            <v/>
          </cell>
          <cell r="H51" t="str">
            <v/>
          </cell>
          <cell r="I51" t="str">
            <v/>
          </cell>
          <cell r="M51" t="str">
            <v/>
          </cell>
          <cell r="N51" t="str">
            <v/>
          </cell>
          <cell r="R51" t="str">
            <v/>
          </cell>
          <cell r="S51" t="str">
            <v/>
          </cell>
        </row>
        <row r="52">
          <cell r="C52" t="str">
            <v/>
          </cell>
          <cell r="D52" t="str">
            <v/>
          </cell>
          <cell r="H52" t="str">
            <v/>
          </cell>
          <cell r="I52" t="str">
            <v/>
          </cell>
          <cell r="M52" t="str">
            <v/>
          </cell>
          <cell r="N52" t="str">
            <v/>
          </cell>
          <cell r="R52" t="str">
            <v/>
          </cell>
          <cell r="S52" t="str">
            <v/>
          </cell>
        </row>
        <row r="53">
          <cell r="C53" t="str">
            <v/>
          </cell>
          <cell r="D53" t="str">
            <v/>
          </cell>
          <cell r="H53" t="str">
            <v/>
          </cell>
          <cell r="I53" t="str">
            <v/>
          </cell>
          <cell r="M53" t="str">
            <v/>
          </cell>
          <cell r="N53" t="str">
            <v/>
          </cell>
          <cell r="R53" t="str">
            <v/>
          </cell>
          <cell r="S53" t="str">
            <v/>
          </cell>
        </row>
        <row r="54">
          <cell r="C54" t="str">
            <v/>
          </cell>
          <cell r="D54" t="str">
            <v/>
          </cell>
          <cell r="H54" t="str">
            <v/>
          </cell>
          <cell r="I54" t="str">
            <v/>
          </cell>
          <cell r="M54" t="str">
            <v/>
          </cell>
          <cell r="N54" t="str">
            <v/>
          </cell>
          <cell r="R54" t="str">
            <v/>
          </cell>
          <cell r="S54" t="str">
            <v/>
          </cell>
        </row>
        <row r="55">
          <cell r="C55" t="str">
            <v/>
          </cell>
          <cell r="D55" t="str">
            <v/>
          </cell>
          <cell r="H55" t="str">
            <v/>
          </cell>
          <cell r="I55" t="str">
            <v/>
          </cell>
          <cell r="M55" t="str">
            <v/>
          </cell>
          <cell r="N55" t="str">
            <v/>
          </cell>
          <cell r="R55" t="str">
            <v/>
          </cell>
          <cell r="S55" t="str">
            <v/>
          </cell>
        </row>
        <row r="56">
          <cell r="C56" t="str">
            <v/>
          </cell>
          <cell r="D56" t="str">
            <v/>
          </cell>
          <cell r="H56" t="str">
            <v/>
          </cell>
          <cell r="I56" t="str">
            <v/>
          </cell>
          <cell r="M56" t="str">
            <v/>
          </cell>
          <cell r="N56" t="str">
            <v/>
          </cell>
          <cell r="R56" t="str">
            <v/>
          </cell>
          <cell r="S56" t="str">
            <v/>
          </cell>
        </row>
        <row r="57">
          <cell r="C57" t="str">
            <v/>
          </cell>
          <cell r="D57" t="str">
            <v/>
          </cell>
          <cell r="H57" t="str">
            <v/>
          </cell>
          <cell r="I57" t="str">
            <v/>
          </cell>
          <cell r="M57" t="str">
            <v/>
          </cell>
          <cell r="N57" t="str">
            <v/>
          </cell>
          <cell r="R57" t="str">
            <v/>
          </cell>
          <cell r="S57" t="str">
            <v/>
          </cell>
        </row>
        <row r="58">
          <cell r="C58" t="str">
            <v/>
          </cell>
          <cell r="D58" t="str">
            <v/>
          </cell>
          <cell r="H58" t="str">
            <v/>
          </cell>
          <cell r="I58" t="str">
            <v/>
          </cell>
          <cell r="M58" t="str">
            <v/>
          </cell>
          <cell r="N58" t="str">
            <v/>
          </cell>
          <cell r="R58" t="str">
            <v/>
          </cell>
          <cell r="S58" t="str">
            <v/>
          </cell>
        </row>
        <row r="59">
          <cell r="C59" t="str">
            <v/>
          </cell>
          <cell r="D59" t="str">
            <v/>
          </cell>
          <cell r="H59" t="str">
            <v/>
          </cell>
          <cell r="I59" t="str">
            <v/>
          </cell>
          <cell r="M59" t="str">
            <v/>
          </cell>
          <cell r="N59" t="str">
            <v/>
          </cell>
          <cell r="R59" t="str">
            <v/>
          </cell>
          <cell r="S59" t="str">
            <v/>
          </cell>
        </row>
        <row r="60">
          <cell r="C60" t="str">
            <v/>
          </cell>
          <cell r="D60" t="str">
            <v/>
          </cell>
          <cell r="H60" t="str">
            <v/>
          </cell>
          <cell r="I60" t="str">
            <v/>
          </cell>
          <cell r="M60" t="str">
            <v/>
          </cell>
          <cell r="N60" t="str">
            <v/>
          </cell>
          <cell r="R60" t="str">
            <v/>
          </cell>
          <cell r="S60" t="str">
            <v/>
          </cell>
        </row>
        <row r="61">
          <cell r="C61" t="str">
            <v/>
          </cell>
          <cell r="D61" t="str">
            <v/>
          </cell>
          <cell r="H61" t="str">
            <v/>
          </cell>
          <cell r="I61" t="str">
            <v/>
          </cell>
          <cell r="M61" t="str">
            <v/>
          </cell>
          <cell r="N61" t="str">
            <v/>
          </cell>
          <cell r="R61" t="str">
            <v/>
          </cell>
          <cell r="S61" t="str">
            <v/>
          </cell>
        </row>
        <row r="62">
          <cell r="C62" t="str">
            <v/>
          </cell>
          <cell r="D62" t="str">
            <v/>
          </cell>
          <cell r="H62" t="str">
            <v/>
          </cell>
          <cell r="I62" t="str">
            <v/>
          </cell>
          <cell r="M62" t="str">
            <v/>
          </cell>
          <cell r="N62" t="str">
            <v/>
          </cell>
          <cell r="R62" t="str">
            <v/>
          </cell>
          <cell r="S62" t="str">
            <v/>
          </cell>
        </row>
        <row r="63">
          <cell r="C63" t="str">
            <v/>
          </cell>
          <cell r="D63" t="str">
            <v/>
          </cell>
          <cell r="H63" t="str">
            <v/>
          </cell>
          <cell r="I63" t="str">
            <v/>
          </cell>
          <cell r="M63" t="str">
            <v/>
          </cell>
          <cell r="N63" t="str">
            <v/>
          </cell>
          <cell r="R63" t="str">
            <v/>
          </cell>
          <cell r="S63" t="str">
            <v/>
          </cell>
        </row>
        <row r="64">
          <cell r="C64" t="str">
            <v/>
          </cell>
          <cell r="D64" t="str">
            <v/>
          </cell>
          <cell r="H64" t="str">
            <v/>
          </cell>
          <cell r="I64" t="str">
            <v/>
          </cell>
          <cell r="M64" t="str">
            <v/>
          </cell>
          <cell r="N64" t="str">
            <v/>
          </cell>
          <cell r="R64" t="str">
            <v/>
          </cell>
          <cell r="S64" t="str">
            <v/>
          </cell>
        </row>
        <row r="65">
          <cell r="C65" t="str">
            <v/>
          </cell>
          <cell r="D65" t="str">
            <v/>
          </cell>
          <cell r="H65" t="str">
            <v/>
          </cell>
          <cell r="I65" t="str">
            <v/>
          </cell>
          <cell r="M65" t="str">
            <v/>
          </cell>
          <cell r="N65" t="str">
            <v/>
          </cell>
          <cell r="R65" t="str">
            <v/>
          </cell>
          <cell r="S65" t="str">
            <v/>
          </cell>
        </row>
        <row r="66">
          <cell r="C66" t="str">
            <v/>
          </cell>
          <cell r="D66" t="str">
            <v/>
          </cell>
          <cell r="H66" t="str">
            <v/>
          </cell>
          <cell r="I66" t="str">
            <v/>
          </cell>
          <cell r="M66" t="str">
            <v/>
          </cell>
          <cell r="N66" t="str">
            <v/>
          </cell>
          <cell r="R66" t="str">
            <v/>
          </cell>
          <cell r="S66" t="str">
            <v/>
          </cell>
        </row>
        <row r="67">
          <cell r="C67" t="str">
            <v/>
          </cell>
          <cell r="D67" t="str">
            <v/>
          </cell>
          <cell r="H67" t="str">
            <v/>
          </cell>
          <cell r="I67" t="str">
            <v/>
          </cell>
          <cell r="M67" t="str">
            <v/>
          </cell>
          <cell r="N67" t="str">
            <v/>
          </cell>
          <cell r="R67" t="str">
            <v/>
          </cell>
          <cell r="S67" t="str">
            <v/>
          </cell>
        </row>
        <row r="68">
          <cell r="C68" t="str">
            <v/>
          </cell>
          <cell r="D68" t="str">
            <v/>
          </cell>
          <cell r="H68" t="str">
            <v/>
          </cell>
          <cell r="I68" t="str">
            <v/>
          </cell>
          <cell r="M68" t="str">
            <v/>
          </cell>
          <cell r="N68" t="str">
            <v/>
          </cell>
          <cell r="R68" t="str">
            <v/>
          </cell>
          <cell r="S68" t="str">
            <v/>
          </cell>
        </row>
        <row r="69">
          <cell r="C69" t="str">
            <v/>
          </cell>
          <cell r="D69" t="str">
            <v/>
          </cell>
          <cell r="H69" t="str">
            <v/>
          </cell>
          <cell r="I69" t="str">
            <v/>
          </cell>
          <cell r="M69" t="str">
            <v/>
          </cell>
          <cell r="N69" t="str">
            <v/>
          </cell>
          <cell r="R69" t="str">
            <v/>
          </cell>
          <cell r="S69" t="str">
            <v/>
          </cell>
        </row>
        <row r="70">
          <cell r="C70" t="str">
            <v/>
          </cell>
          <cell r="D70" t="str">
            <v/>
          </cell>
          <cell r="H70" t="str">
            <v/>
          </cell>
          <cell r="I70" t="str">
            <v/>
          </cell>
          <cell r="M70" t="str">
            <v/>
          </cell>
          <cell r="N70" t="str">
            <v/>
          </cell>
          <cell r="R70" t="str">
            <v/>
          </cell>
          <cell r="S70" t="str">
            <v/>
          </cell>
        </row>
        <row r="71">
          <cell r="C71" t="str">
            <v/>
          </cell>
          <cell r="D71" t="str">
            <v/>
          </cell>
          <cell r="H71" t="str">
            <v/>
          </cell>
          <cell r="I71" t="str">
            <v/>
          </cell>
          <cell r="M71" t="str">
            <v/>
          </cell>
          <cell r="N71" t="str">
            <v/>
          </cell>
          <cell r="R71" t="str">
            <v/>
          </cell>
          <cell r="S71" t="str">
            <v/>
          </cell>
        </row>
        <row r="72">
          <cell r="C72" t="str">
            <v/>
          </cell>
          <cell r="D72" t="str">
            <v/>
          </cell>
          <cell r="H72" t="str">
            <v/>
          </cell>
          <cell r="I72" t="str">
            <v/>
          </cell>
          <cell r="M72" t="str">
            <v/>
          </cell>
          <cell r="N72" t="str">
            <v/>
          </cell>
          <cell r="R72" t="str">
            <v/>
          </cell>
          <cell r="S72" t="str">
            <v/>
          </cell>
        </row>
        <row r="73">
          <cell r="C73" t="str">
            <v/>
          </cell>
          <cell r="D73" t="str">
            <v/>
          </cell>
          <cell r="H73" t="str">
            <v/>
          </cell>
          <cell r="I73" t="str">
            <v/>
          </cell>
          <cell r="M73" t="str">
            <v/>
          </cell>
          <cell r="N73" t="str">
            <v/>
          </cell>
          <cell r="R73" t="str">
            <v/>
          </cell>
          <cell r="S73" t="str">
            <v/>
          </cell>
        </row>
        <row r="74">
          <cell r="C74" t="str">
            <v/>
          </cell>
          <cell r="D74" t="str">
            <v/>
          </cell>
          <cell r="H74" t="str">
            <v/>
          </cell>
          <cell r="I74" t="str">
            <v/>
          </cell>
          <cell r="M74" t="str">
            <v/>
          </cell>
          <cell r="N74" t="str">
            <v/>
          </cell>
          <cell r="R74" t="str">
            <v/>
          </cell>
          <cell r="S74" t="str">
            <v/>
          </cell>
        </row>
        <row r="75">
          <cell r="C75" t="str">
            <v/>
          </cell>
          <cell r="D75" t="str">
            <v/>
          </cell>
          <cell r="H75" t="str">
            <v/>
          </cell>
          <cell r="I75" t="str">
            <v/>
          </cell>
          <cell r="M75" t="str">
            <v/>
          </cell>
          <cell r="N75" t="str">
            <v/>
          </cell>
          <cell r="R75" t="str">
            <v/>
          </cell>
          <cell r="S75" t="str">
            <v/>
          </cell>
        </row>
        <row r="76">
          <cell r="C76" t="str">
            <v/>
          </cell>
          <cell r="D76" t="str">
            <v/>
          </cell>
          <cell r="H76" t="str">
            <v/>
          </cell>
          <cell r="I76" t="str">
            <v/>
          </cell>
          <cell r="M76" t="str">
            <v/>
          </cell>
          <cell r="N76" t="str">
            <v/>
          </cell>
          <cell r="R76" t="str">
            <v/>
          </cell>
          <cell r="S76" t="str">
            <v/>
          </cell>
        </row>
        <row r="77">
          <cell r="C77" t="str">
            <v/>
          </cell>
          <cell r="D77" t="str">
            <v/>
          </cell>
          <cell r="H77" t="str">
            <v/>
          </cell>
          <cell r="I77" t="str">
            <v/>
          </cell>
          <cell r="M77" t="str">
            <v/>
          </cell>
          <cell r="N77" t="str">
            <v/>
          </cell>
          <cell r="R77" t="str">
            <v/>
          </cell>
          <cell r="S77" t="str">
            <v/>
          </cell>
        </row>
        <row r="78">
          <cell r="C78" t="str">
            <v/>
          </cell>
          <cell r="D78" t="str">
            <v/>
          </cell>
          <cell r="H78" t="str">
            <v/>
          </cell>
          <cell r="I78" t="str">
            <v/>
          </cell>
          <cell r="M78" t="str">
            <v/>
          </cell>
          <cell r="N78" t="str">
            <v/>
          </cell>
          <cell r="R78" t="str">
            <v/>
          </cell>
          <cell r="S78" t="str">
            <v/>
          </cell>
        </row>
        <row r="79">
          <cell r="C79" t="str">
            <v/>
          </cell>
          <cell r="D79" t="str">
            <v/>
          </cell>
          <cell r="H79" t="str">
            <v/>
          </cell>
          <cell r="I79" t="str">
            <v/>
          </cell>
          <cell r="M79" t="str">
            <v/>
          </cell>
          <cell r="N79" t="str">
            <v/>
          </cell>
          <cell r="R79" t="str">
            <v/>
          </cell>
          <cell r="S79" t="str">
            <v/>
          </cell>
        </row>
        <row r="80">
          <cell r="C80" t="str">
            <v/>
          </cell>
          <cell r="D80" t="str">
            <v/>
          </cell>
          <cell r="H80" t="str">
            <v/>
          </cell>
          <cell r="I80" t="str">
            <v/>
          </cell>
          <cell r="M80" t="str">
            <v/>
          </cell>
          <cell r="N80" t="str">
            <v/>
          </cell>
          <cell r="R80" t="str">
            <v/>
          </cell>
          <cell r="S80" t="str">
            <v/>
          </cell>
        </row>
        <row r="81">
          <cell r="C81" t="str">
            <v/>
          </cell>
          <cell r="D81" t="str">
            <v/>
          </cell>
          <cell r="H81" t="str">
            <v/>
          </cell>
          <cell r="I81" t="str">
            <v/>
          </cell>
          <cell r="M81" t="str">
            <v/>
          </cell>
          <cell r="N81" t="str">
            <v/>
          </cell>
          <cell r="R81" t="str">
            <v/>
          </cell>
          <cell r="S81" t="str">
            <v/>
          </cell>
        </row>
        <row r="82">
          <cell r="C82" t="str">
            <v/>
          </cell>
          <cell r="D82" t="str">
            <v/>
          </cell>
          <cell r="H82" t="str">
            <v/>
          </cell>
          <cell r="I82" t="str">
            <v/>
          </cell>
          <cell r="M82" t="str">
            <v/>
          </cell>
          <cell r="N82" t="str">
            <v/>
          </cell>
          <cell r="R82" t="str">
            <v/>
          </cell>
          <cell r="S82" t="str">
            <v/>
          </cell>
        </row>
        <row r="83">
          <cell r="C83" t="str">
            <v/>
          </cell>
          <cell r="D83" t="str">
            <v/>
          </cell>
          <cell r="H83" t="str">
            <v/>
          </cell>
          <cell r="I83" t="str">
            <v/>
          </cell>
          <cell r="M83" t="str">
            <v/>
          </cell>
          <cell r="N83" t="str">
            <v/>
          </cell>
          <cell r="R83" t="str">
            <v/>
          </cell>
          <cell r="S83" t="str">
            <v/>
          </cell>
        </row>
        <row r="84">
          <cell r="C84" t="str">
            <v/>
          </cell>
          <cell r="D84" t="str">
            <v/>
          </cell>
          <cell r="H84" t="str">
            <v/>
          </cell>
          <cell r="I84" t="str">
            <v/>
          </cell>
          <cell r="M84" t="str">
            <v/>
          </cell>
          <cell r="N84" t="str">
            <v/>
          </cell>
          <cell r="R84" t="str">
            <v/>
          </cell>
          <cell r="S84" t="str">
            <v/>
          </cell>
        </row>
        <row r="85">
          <cell r="C85" t="str">
            <v/>
          </cell>
          <cell r="D85" t="str">
            <v/>
          </cell>
          <cell r="H85" t="str">
            <v/>
          </cell>
          <cell r="I85" t="str">
            <v/>
          </cell>
          <cell r="M85" t="str">
            <v/>
          </cell>
          <cell r="N85" t="str">
            <v/>
          </cell>
          <cell r="R85" t="str">
            <v/>
          </cell>
          <cell r="S85" t="str">
            <v/>
          </cell>
        </row>
        <row r="86">
          <cell r="C86" t="str">
            <v/>
          </cell>
          <cell r="D86" t="str">
            <v/>
          </cell>
          <cell r="H86" t="str">
            <v/>
          </cell>
          <cell r="I86" t="str">
            <v/>
          </cell>
          <cell r="M86" t="str">
            <v/>
          </cell>
          <cell r="N86" t="str">
            <v/>
          </cell>
          <cell r="R86" t="str">
            <v/>
          </cell>
          <cell r="S86" t="str">
            <v/>
          </cell>
        </row>
        <row r="87">
          <cell r="C87" t="str">
            <v/>
          </cell>
          <cell r="D87" t="str">
            <v/>
          </cell>
          <cell r="H87" t="str">
            <v/>
          </cell>
          <cell r="I87" t="str">
            <v/>
          </cell>
          <cell r="M87" t="str">
            <v/>
          </cell>
          <cell r="N87" t="str">
            <v/>
          </cell>
          <cell r="R87" t="str">
            <v/>
          </cell>
          <cell r="S87" t="str">
            <v/>
          </cell>
        </row>
        <row r="88">
          <cell r="C88" t="str">
            <v/>
          </cell>
          <cell r="D88" t="str">
            <v/>
          </cell>
          <cell r="H88" t="str">
            <v/>
          </cell>
          <cell r="I88" t="str">
            <v/>
          </cell>
          <cell r="M88" t="str">
            <v/>
          </cell>
          <cell r="N88" t="str">
            <v/>
          </cell>
          <cell r="R88" t="str">
            <v/>
          </cell>
          <cell r="S88" t="str">
            <v/>
          </cell>
        </row>
        <row r="89">
          <cell r="C89" t="str">
            <v/>
          </cell>
          <cell r="D89" t="str">
            <v/>
          </cell>
          <cell r="H89" t="str">
            <v/>
          </cell>
          <cell r="I89" t="str">
            <v/>
          </cell>
          <cell r="M89" t="str">
            <v/>
          </cell>
          <cell r="N89" t="str">
            <v/>
          </cell>
          <cell r="R89" t="str">
            <v/>
          </cell>
          <cell r="S89" t="str">
            <v/>
          </cell>
        </row>
        <row r="90">
          <cell r="C90" t="str">
            <v/>
          </cell>
          <cell r="D90" t="str">
            <v/>
          </cell>
          <cell r="H90" t="str">
            <v/>
          </cell>
          <cell r="I90" t="str">
            <v/>
          </cell>
          <cell r="M90" t="str">
            <v/>
          </cell>
          <cell r="N90" t="str">
            <v/>
          </cell>
          <cell r="R90" t="str">
            <v/>
          </cell>
          <cell r="S90" t="str">
            <v/>
          </cell>
        </row>
        <row r="91">
          <cell r="C91" t="str">
            <v/>
          </cell>
          <cell r="D91" t="str">
            <v/>
          </cell>
          <cell r="H91" t="str">
            <v/>
          </cell>
          <cell r="I91" t="str">
            <v/>
          </cell>
          <cell r="M91" t="str">
            <v/>
          </cell>
          <cell r="N91" t="str">
            <v/>
          </cell>
          <cell r="R91" t="str">
            <v/>
          </cell>
          <cell r="S91" t="str">
            <v/>
          </cell>
        </row>
        <row r="92">
          <cell r="C92" t="str">
            <v/>
          </cell>
          <cell r="D92" t="str">
            <v/>
          </cell>
          <cell r="H92" t="str">
            <v/>
          </cell>
          <cell r="I92" t="str">
            <v/>
          </cell>
          <cell r="M92" t="str">
            <v/>
          </cell>
          <cell r="N92" t="str">
            <v/>
          </cell>
          <cell r="R92" t="str">
            <v/>
          </cell>
          <cell r="S92" t="str">
            <v/>
          </cell>
        </row>
        <row r="93">
          <cell r="C93" t="str">
            <v/>
          </cell>
          <cell r="D93" t="str">
            <v/>
          </cell>
          <cell r="H93" t="str">
            <v/>
          </cell>
          <cell r="I93" t="str">
            <v/>
          </cell>
          <cell r="M93" t="str">
            <v/>
          </cell>
          <cell r="N93" t="str">
            <v/>
          </cell>
          <cell r="R93" t="str">
            <v/>
          </cell>
          <cell r="S93" t="str">
            <v/>
          </cell>
        </row>
        <row r="94">
          <cell r="C94" t="str">
            <v/>
          </cell>
          <cell r="D94" t="str">
            <v/>
          </cell>
          <cell r="H94" t="str">
            <v/>
          </cell>
          <cell r="I94" t="str">
            <v/>
          </cell>
          <cell r="M94" t="str">
            <v/>
          </cell>
          <cell r="N94" t="str">
            <v/>
          </cell>
          <cell r="R94" t="str">
            <v/>
          </cell>
          <cell r="S94" t="str">
            <v/>
          </cell>
        </row>
        <row r="95">
          <cell r="C95" t="str">
            <v/>
          </cell>
          <cell r="D95" t="str">
            <v/>
          </cell>
          <cell r="H95" t="str">
            <v/>
          </cell>
          <cell r="I95" t="str">
            <v/>
          </cell>
          <cell r="M95" t="str">
            <v/>
          </cell>
          <cell r="N95" t="str">
            <v/>
          </cell>
          <cell r="R95" t="str">
            <v/>
          </cell>
          <cell r="S95" t="str">
            <v/>
          </cell>
        </row>
        <row r="96">
          <cell r="C96" t="str">
            <v/>
          </cell>
          <cell r="D96" t="str">
            <v/>
          </cell>
          <cell r="H96" t="str">
            <v/>
          </cell>
          <cell r="I96" t="str">
            <v/>
          </cell>
          <cell r="M96" t="str">
            <v/>
          </cell>
          <cell r="N96" t="str">
            <v/>
          </cell>
          <cell r="R96" t="str">
            <v/>
          </cell>
          <cell r="S96" t="str">
            <v/>
          </cell>
        </row>
        <row r="97">
          <cell r="C97" t="str">
            <v/>
          </cell>
          <cell r="D97" t="str">
            <v/>
          </cell>
          <cell r="H97" t="str">
            <v/>
          </cell>
          <cell r="I97" t="str">
            <v/>
          </cell>
          <cell r="M97" t="str">
            <v/>
          </cell>
          <cell r="N97" t="str">
            <v/>
          </cell>
          <cell r="R97" t="str">
            <v/>
          </cell>
          <cell r="S97" t="str">
            <v/>
          </cell>
        </row>
        <row r="98">
          <cell r="C98" t="str">
            <v/>
          </cell>
          <cell r="D98" t="str">
            <v/>
          </cell>
          <cell r="H98" t="str">
            <v/>
          </cell>
          <cell r="I98" t="str">
            <v/>
          </cell>
          <cell r="M98" t="str">
            <v/>
          </cell>
          <cell r="N98" t="str">
            <v/>
          </cell>
          <cell r="R98" t="str">
            <v/>
          </cell>
          <cell r="S98" t="str">
            <v/>
          </cell>
        </row>
        <row r="99">
          <cell r="C99" t="str">
            <v/>
          </cell>
          <cell r="D99" t="str">
            <v/>
          </cell>
          <cell r="H99" t="str">
            <v/>
          </cell>
          <cell r="I99" t="str">
            <v/>
          </cell>
          <cell r="M99" t="str">
            <v/>
          </cell>
          <cell r="N99" t="str">
            <v/>
          </cell>
          <cell r="R99" t="str">
            <v/>
          </cell>
          <cell r="S99" t="str">
            <v/>
          </cell>
        </row>
        <row r="100">
          <cell r="C100" t="str">
            <v/>
          </cell>
          <cell r="D100" t="str">
            <v/>
          </cell>
          <cell r="H100" t="str">
            <v/>
          </cell>
          <cell r="I100" t="str">
            <v/>
          </cell>
          <cell r="M100" t="str">
            <v/>
          </cell>
          <cell r="N100" t="str">
            <v/>
          </cell>
          <cell r="R100" t="str">
            <v/>
          </cell>
          <cell r="S100" t="str">
            <v/>
          </cell>
        </row>
        <row r="101">
          <cell r="C101" t="str">
            <v/>
          </cell>
          <cell r="D101" t="str">
            <v/>
          </cell>
          <cell r="H101" t="str">
            <v/>
          </cell>
          <cell r="I101" t="str">
            <v/>
          </cell>
          <cell r="M101" t="str">
            <v/>
          </cell>
          <cell r="N101" t="str">
            <v/>
          </cell>
          <cell r="R101" t="str">
            <v/>
          </cell>
          <cell r="S101" t="str">
            <v/>
          </cell>
        </row>
        <row r="102">
          <cell r="C102" t="str">
            <v/>
          </cell>
          <cell r="D102" t="str">
            <v/>
          </cell>
          <cell r="H102" t="str">
            <v/>
          </cell>
          <cell r="I102" t="str">
            <v/>
          </cell>
          <cell r="M102" t="str">
            <v/>
          </cell>
          <cell r="N102" t="str">
            <v/>
          </cell>
          <cell r="R102" t="str">
            <v/>
          </cell>
          <cell r="S102" t="str">
            <v/>
          </cell>
        </row>
        <row r="103">
          <cell r="C103" t="str">
            <v/>
          </cell>
          <cell r="D103" t="str">
            <v/>
          </cell>
          <cell r="H103" t="str">
            <v/>
          </cell>
          <cell r="I103" t="str">
            <v/>
          </cell>
          <cell r="M103" t="str">
            <v/>
          </cell>
          <cell r="N103" t="str">
            <v/>
          </cell>
          <cell r="R103" t="str">
            <v/>
          </cell>
          <cell r="S103" t="str">
            <v/>
          </cell>
        </row>
        <row r="104">
          <cell r="C104" t="str">
            <v/>
          </cell>
          <cell r="D104" t="str">
            <v/>
          </cell>
          <cell r="H104" t="str">
            <v/>
          </cell>
          <cell r="I104" t="str">
            <v/>
          </cell>
          <cell r="M104" t="str">
            <v/>
          </cell>
          <cell r="N104" t="str">
            <v/>
          </cell>
          <cell r="R104" t="str">
            <v/>
          </cell>
          <cell r="S104" t="str">
            <v/>
          </cell>
        </row>
        <row r="105">
          <cell r="C105" t="str">
            <v/>
          </cell>
          <cell r="D105" t="str">
            <v/>
          </cell>
          <cell r="H105" t="str">
            <v/>
          </cell>
          <cell r="I105" t="str">
            <v/>
          </cell>
          <cell r="M105" t="str">
            <v/>
          </cell>
          <cell r="N105" t="str">
            <v/>
          </cell>
          <cell r="R105" t="str">
            <v/>
          </cell>
          <cell r="S105" t="str">
            <v/>
          </cell>
        </row>
        <row r="106">
          <cell r="C106" t="str">
            <v/>
          </cell>
          <cell r="D106" t="str">
            <v/>
          </cell>
          <cell r="H106" t="str">
            <v/>
          </cell>
          <cell r="I106" t="str">
            <v/>
          </cell>
          <cell r="M106" t="str">
            <v/>
          </cell>
          <cell r="N106" t="str">
            <v/>
          </cell>
          <cell r="R106" t="str">
            <v/>
          </cell>
          <cell r="S106" t="str">
            <v/>
          </cell>
        </row>
        <row r="107">
          <cell r="C107" t="str">
            <v/>
          </cell>
          <cell r="D107" t="str">
            <v/>
          </cell>
          <cell r="H107" t="str">
            <v/>
          </cell>
          <cell r="I107" t="str">
            <v/>
          </cell>
          <cell r="M107" t="str">
            <v/>
          </cell>
          <cell r="N107" t="str">
            <v/>
          </cell>
          <cell r="R107" t="str">
            <v/>
          </cell>
          <cell r="S107" t="str">
            <v/>
          </cell>
        </row>
        <row r="108">
          <cell r="C108" t="str">
            <v/>
          </cell>
          <cell r="D108" t="str">
            <v/>
          </cell>
          <cell r="H108" t="str">
            <v/>
          </cell>
          <cell r="I108" t="str">
            <v/>
          </cell>
          <cell r="M108" t="str">
            <v/>
          </cell>
          <cell r="N108" t="str">
            <v/>
          </cell>
          <cell r="R108" t="str">
            <v/>
          </cell>
          <cell r="S108" t="str">
            <v/>
          </cell>
        </row>
        <row r="109">
          <cell r="C109" t="str">
            <v/>
          </cell>
          <cell r="D109" t="str">
            <v/>
          </cell>
          <cell r="H109" t="str">
            <v/>
          </cell>
          <cell r="I109" t="str">
            <v/>
          </cell>
          <cell r="M109" t="str">
            <v/>
          </cell>
          <cell r="N109" t="str">
            <v/>
          </cell>
          <cell r="R109" t="str">
            <v/>
          </cell>
          <cell r="S109" t="str">
            <v/>
          </cell>
        </row>
        <row r="110">
          <cell r="C110" t="str">
            <v/>
          </cell>
          <cell r="D110" t="str">
            <v/>
          </cell>
          <cell r="H110" t="str">
            <v/>
          </cell>
          <cell r="I110" t="str">
            <v/>
          </cell>
          <cell r="M110" t="str">
            <v/>
          </cell>
          <cell r="N110" t="str">
            <v/>
          </cell>
          <cell r="R110" t="str">
            <v/>
          </cell>
          <cell r="S110" t="str">
            <v/>
          </cell>
        </row>
        <row r="111">
          <cell r="C111" t="str">
            <v/>
          </cell>
          <cell r="D111" t="str">
            <v/>
          </cell>
          <cell r="H111" t="str">
            <v/>
          </cell>
          <cell r="I111" t="str">
            <v/>
          </cell>
          <cell r="M111" t="str">
            <v/>
          </cell>
          <cell r="N111" t="str">
            <v/>
          </cell>
          <cell r="R111" t="str">
            <v/>
          </cell>
          <cell r="S111" t="str">
            <v/>
          </cell>
        </row>
        <row r="112">
          <cell r="C112" t="str">
            <v/>
          </cell>
          <cell r="D112" t="str">
            <v/>
          </cell>
          <cell r="H112" t="str">
            <v/>
          </cell>
          <cell r="I112" t="str">
            <v/>
          </cell>
          <cell r="M112" t="str">
            <v/>
          </cell>
          <cell r="N112" t="str">
            <v/>
          </cell>
          <cell r="R112" t="str">
            <v/>
          </cell>
          <cell r="S112" t="str">
            <v/>
          </cell>
        </row>
        <row r="113">
          <cell r="C113" t="str">
            <v/>
          </cell>
          <cell r="D113" t="str">
            <v/>
          </cell>
          <cell r="H113" t="str">
            <v/>
          </cell>
          <cell r="I113" t="str">
            <v/>
          </cell>
          <cell r="M113" t="str">
            <v/>
          </cell>
          <cell r="N113" t="str">
            <v/>
          </cell>
          <cell r="R113" t="str">
            <v/>
          </cell>
          <cell r="S113" t="str">
            <v/>
          </cell>
        </row>
        <row r="114">
          <cell r="C114" t="str">
            <v/>
          </cell>
          <cell r="D114" t="str">
            <v/>
          </cell>
          <cell r="H114" t="str">
            <v/>
          </cell>
          <cell r="I114" t="str">
            <v/>
          </cell>
          <cell r="M114" t="str">
            <v/>
          </cell>
          <cell r="N114" t="str">
            <v/>
          </cell>
          <cell r="R114" t="str">
            <v/>
          </cell>
          <cell r="S114" t="str">
            <v/>
          </cell>
        </row>
        <row r="115">
          <cell r="C115" t="str">
            <v/>
          </cell>
          <cell r="D115" t="str">
            <v/>
          </cell>
          <cell r="H115" t="str">
            <v/>
          </cell>
          <cell r="I115" t="str">
            <v/>
          </cell>
          <cell r="M115" t="str">
            <v/>
          </cell>
          <cell r="N115" t="str">
            <v/>
          </cell>
          <cell r="R115" t="str">
            <v/>
          </cell>
          <cell r="S115" t="str">
            <v/>
          </cell>
        </row>
        <row r="116">
          <cell r="C116" t="str">
            <v/>
          </cell>
          <cell r="D116" t="str">
            <v/>
          </cell>
          <cell r="H116" t="str">
            <v/>
          </cell>
          <cell r="I116" t="str">
            <v/>
          </cell>
          <cell r="M116" t="str">
            <v/>
          </cell>
          <cell r="N116" t="str">
            <v/>
          </cell>
          <cell r="R116" t="str">
            <v/>
          </cell>
          <cell r="S116" t="str">
            <v/>
          </cell>
        </row>
        <row r="117">
          <cell r="C117" t="str">
            <v/>
          </cell>
          <cell r="D117" t="str">
            <v/>
          </cell>
          <cell r="H117" t="str">
            <v/>
          </cell>
          <cell r="I117" t="str">
            <v/>
          </cell>
          <cell r="M117" t="str">
            <v/>
          </cell>
          <cell r="N117" t="str">
            <v/>
          </cell>
          <cell r="R117" t="str">
            <v/>
          </cell>
          <cell r="S117" t="str">
            <v/>
          </cell>
        </row>
        <row r="118">
          <cell r="C118" t="str">
            <v/>
          </cell>
          <cell r="D118" t="str">
            <v/>
          </cell>
          <cell r="H118" t="str">
            <v/>
          </cell>
          <cell r="I118" t="str">
            <v/>
          </cell>
          <cell r="M118" t="str">
            <v/>
          </cell>
          <cell r="N118" t="str">
            <v/>
          </cell>
          <cell r="R118" t="str">
            <v/>
          </cell>
          <cell r="S118" t="str">
            <v/>
          </cell>
        </row>
        <row r="119">
          <cell r="C119" t="str">
            <v/>
          </cell>
          <cell r="D119" t="str">
            <v/>
          </cell>
          <cell r="H119" t="str">
            <v/>
          </cell>
          <cell r="I119" t="str">
            <v/>
          </cell>
          <cell r="M119" t="str">
            <v/>
          </cell>
          <cell r="N119" t="str">
            <v/>
          </cell>
          <cell r="R119" t="str">
            <v/>
          </cell>
          <cell r="S119" t="str">
            <v/>
          </cell>
        </row>
        <row r="120">
          <cell r="C120" t="str">
            <v/>
          </cell>
          <cell r="D120" t="str">
            <v/>
          </cell>
          <cell r="H120" t="str">
            <v/>
          </cell>
          <cell r="I120" t="str">
            <v/>
          </cell>
          <cell r="M120" t="str">
            <v/>
          </cell>
          <cell r="N120" t="str">
            <v/>
          </cell>
          <cell r="R120" t="str">
            <v/>
          </cell>
          <cell r="S120" t="str">
            <v/>
          </cell>
        </row>
        <row r="121">
          <cell r="C121" t="str">
            <v/>
          </cell>
          <cell r="D121" t="str">
            <v/>
          </cell>
          <cell r="H121" t="str">
            <v/>
          </cell>
          <cell r="I121" t="str">
            <v/>
          </cell>
          <cell r="M121" t="str">
            <v/>
          </cell>
          <cell r="N121" t="str">
            <v/>
          </cell>
          <cell r="R121" t="str">
            <v/>
          </cell>
          <cell r="S121" t="str">
            <v/>
          </cell>
        </row>
        <row r="122">
          <cell r="C122" t="str">
            <v/>
          </cell>
          <cell r="D122" t="str">
            <v/>
          </cell>
          <cell r="H122" t="str">
            <v/>
          </cell>
          <cell r="I122" t="str">
            <v/>
          </cell>
          <cell r="M122" t="str">
            <v/>
          </cell>
          <cell r="N122" t="str">
            <v/>
          </cell>
          <cell r="R122" t="str">
            <v/>
          </cell>
          <cell r="S122" t="str">
            <v/>
          </cell>
        </row>
        <row r="123">
          <cell r="C123" t="str">
            <v/>
          </cell>
          <cell r="D123" t="str">
            <v/>
          </cell>
          <cell r="H123" t="str">
            <v/>
          </cell>
          <cell r="I123" t="str">
            <v/>
          </cell>
          <cell r="M123" t="str">
            <v/>
          </cell>
          <cell r="N123" t="str">
            <v/>
          </cell>
          <cell r="R123" t="str">
            <v/>
          </cell>
          <cell r="S123" t="str">
            <v/>
          </cell>
        </row>
        <row r="124">
          <cell r="C124" t="str">
            <v/>
          </cell>
          <cell r="D124" t="str">
            <v/>
          </cell>
          <cell r="H124" t="str">
            <v/>
          </cell>
          <cell r="I124" t="str">
            <v/>
          </cell>
          <cell r="M124" t="str">
            <v/>
          </cell>
          <cell r="N124" t="str">
            <v/>
          </cell>
          <cell r="R124" t="str">
            <v/>
          </cell>
          <cell r="S124" t="str">
            <v/>
          </cell>
        </row>
        <row r="125">
          <cell r="C125" t="str">
            <v/>
          </cell>
          <cell r="D125" t="str">
            <v/>
          </cell>
          <cell r="H125" t="str">
            <v/>
          </cell>
          <cell r="I125" t="str">
            <v/>
          </cell>
          <cell r="M125" t="str">
            <v/>
          </cell>
          <cell r="N125" t="str">
            <v/>
          </cell>
          <cell r="R125" t="str">
            <v/>
          </cell>
          <cell r="S125" t="str">
            <v/>
          </cell>
        </row>
        <row r="126">
          <cell r="C126" t="str">
            <v/>
          </cell>
          <cell r="D126" t="str">
            <v/>
          </cell>
          <cell r="H126" t="str">
            <v/>
          </cell>
          <cell r="I126" t="str">
            <v/>
          </cell>
          <cell r="M126" t="str">
            <v/>
          </cell>
          <cell r="N126" t="str">
            <v/>
          </cell>
          <cell r="R126" t="str">
            <v/>
          </cell>
          <cell r="S126" t="str">
            <v/>
          </cell>
        </row>
        <row r="127">
          <cell r="C127" t="str">
            <v/>
          </cell>
          <cell r="D127" t="str">
            <v/>
          </cell>
          <cell r="H127" t="str">
            <v/>
          </cell>
          <cell r="I127" t="str">
            <v/>
          </cell>
          <cell r="M127" t="str">
            <v/>
          </cell>
          <cell r="N127" t="str">
            <v/>
          </cell>
          <cell r="R127" t="str">
            <v/>
          </cell>
          <cell r="S127" t="str">
            <v/>
          </cell>
        </row>
        <row r="128">
          <cell r="C128" t="str">
            <v/>
          </cell>
          <cell r="D128" t="str">
            <v/>
          </cell>
          <cell r="H128" t="str">
            <v/>
          </cell>
          <cell r="I128" t="str">
            <v/>
          </cell>
          <cell r="M128" t="str">
            <v/>
          </cell>
          <cell r="N128" t="str">
            <v/>
          </cell>
          <cell r="R128" t="str">
            <v/>
          </cell>
          <cell r="S128" t="str">
            <v/>
          </cell>
        </row>
        <row r="129">
          <cell r="C129" t="str">
            <v/>
          </cell>
          <cell r="D129" t="str">
            <v/>
          </cell>
          <cell r="H129" t="str">
            <v/>
          </cell>
          <cell r="I129" t="str">
            <v/>
          </cell>
          <cell r="M129" t="str">
            <v/>
          </cell>
          <cell r="N129" t="str">
            <v/>
          </cell>
          <cell r="R129" t="str">
            <v/>
          </cell>
          <cell r="S129" t="str">
            <v/>
          </cell>
        </row>
        <row r="130">
          <cell r="C130" t="str">
            <v/>
          </cell>
          <cell r="D130" t="str">
            <v/>
          </cell>
          <cell r="H130" t="str">
            <v/>
          </cell>
          <cell r="I130" t="str">
            <v/>
          </cell>
          <cell r="M130" t="str">
            <v/>
          </cell>
          <cell r="N130" t="str">
            <v/>
          </cell>
          <cell r="R130" t="str">
            <v/>
          </cell>
          <cell r="S130" t="str">
            <v/>
          </cell>
        </row>
        <row r="131">
          <cell r="C131" t="str">
            <v/>
          </cell>
          <cell r="D131" t="str">
            <v/>
          </cell>
          <cell r="H131" t="str">
            <v/>
          </cell>
          <cell r="I131" t="str">
            <v/>
          </cell>
          <cell r="M131" t="str">
            <v/>
          </cell>
          <cell r="N131" t="str">
            <v/>
          </cell>
          <cell r="R131" t="str">
            <v/>
          </cell>
          <cell r="S131" t="str">
            <v/>
          </cell>
        </row>
        <row r="132">
          <cell r="C132" t="str">
            <v/>
          </cell>
          <cell r="D132" t="str">
            <v/>
          </cell>
          <cell r="H132" t="str">
            <v/>
          </cell>
          <cell r="I132" t="str">
            <v/>
          </cell>
          <cell r="M132" t="str">
            <v/>
          </cell>
          <cell r="N132" t="str">
            <v/>
          </cell>
          <cell r="R132" t="str">
            <v/>
          </cell>
          <cell r="S132" t="str">
            <v/>
          </cell>
        </row>
        <row r="133">
          <cell r="C133" t="str">
            <v/>
          </cell>
          <cell r="D133" t="str">
            <v/>
          </cell>
          <cell r="H133" t="str">
            <v/>
          </cell>
          <cell r="I133" t="str">
            <v/>
          </cell>
          <cell r="M133" t="str">
            <v/>
          </cell>
          <cell r="N133" t="str">
            <v/>
          </cell>
          <cell r="R133" t="str">
            <v/>
          </cell>
          <cell r="S133" t="str">
            <v/>
          </cell>
        </row>
        <row r="134">
          <cell r="C134" t="str">
            <v/>
          </cell>
          <cell r="D134" t="str">
            <v/>
          </cell>
          <cell r="H134" t="str">
            <v/>
          </cell>
          <cell r="I134" t="str">
            <v/>
          </cell>
          <cell r="M134" t="str">
            <v/>
          </cell>
          <cell r="N134" t="str">
            <v/>
          </cell>
          <cell r="R134" t="str">
            <v/>
          </cell>
          <cell r="S134" t="str">
            <v/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"/>
      <sheetName val="Sediment2"/>
      <sheetName val="schweb1"/>
      <sheetName val="Blattbelag"/>
      <sheetName val="AbtriftBoden"/>
      <sheetName val="Sediment"/>
    </sheetNames>
    <sheetDataSet>
      <sheetData sheetId="0">
        <row r="184">
          <cell r="AC184">
            <v>0.5</v>
          </cell>
        </row>
        <row r="185">
          <cell r="AC185">
            <v>1.5</v>
          </cell>
        </row>
        <row r="186">
          <cell r="AC186">
            <v>2.5</v>
          </cell>
        </row>
        <row r="187">
          <cell r="AC187">
            <v>3.5</v>
          </cell>
        </row>
        <row r="188">
          <cell r="AC188">
            <v>4.5</v>
          </cell>
        </row>
        <row r="189">
          <cell r="AC189">
            <v>5.5</v>
          </cell>
        </row>
        <row r="190">
          <cell r="AC190">
            <v>6.5</v>
          </cell>
        </row>
        <row r="191">
          <cell r="AC191">
            <v>7.5</v>
          </cell>
        </row>
        <row r="192">
          <cell r="AC192">
            <v>8.5</v>
          </cell>
        </row>
        <row r="193">
          <cell r="AC193">
            <v>9.5</v>
          </cell>
        </row>
        <row r="194">
          <cell r="AC194">
            <v>10.5</v>
          </cell>
        </row>
        <row r="195">
          <cell r="AC195">
            <v>11.5</v>
          </cell>
        </row>
        <row r="196">
          <cell r="AC196">
            <v>12.5</v>
          </cell>
        </row>
        <row r="197">
          <cell r="AC197">
            <v>13.5</v>
          </cell>
        </row>
        <row r="198">
          <cell r="AC198">
            <v>14.5</v>
          </cell>
        </row>
        <row r="199">
          <cell r="AC199">
            <v>15.5</v>
          </cell>
        </row>
        <row r="200">
          <cell r="AC200">
            <v>16.5</v>
          </cell>
        </row>
        <row r="201">
          <cell r="AC201">
            <v>17.5</v>
          </cell>
        </row>
        <row r="202">
          <cell r="AC202">
            <v>18.5</v>
          </cell>
        </row>
        <row r="203">
          <cell r="AC203">
            <v>19.5</v>
          </cell>
        </row>
        <row r="204">
          <cell r="AC204">
            <v>20.5</v>
          </cell>
        </row>
        <row r="205">
          <cell r="AC205">
            <v>21.5</v>
          </cell>
        </row>
        <row r="206">
          <cell r="AC206">
            <v>22.5</v>
          </cell>
        </row>
        <row r="207">
          <cell r="AC207">
            <v>23.5</v>
          </cell>
        </row>
        <row r="208">
          <cell r="AC208">
            <v>24.5</v>
          </cell>
        </row>
        <row r="209">
          <cell r="AC209">
            <v>25.5</v>
          </cell>
        </row>
        <row r="210">
          <cell r="AC210">
            <v>26.5</v>
          </cell>
        </row>
        <row r="211">
          <cell r="AC211">
            <v>27.5</v>
          </cell>
        </row>
        <row r="212">
          <cell r="AC212">
            <v>28.5</v>
          </cell>
        </row>
        <row r="213">
          <cell r="AC213">
            <v>29.5</v>
          </cell>
        </row>
        <row r="214">
          <cell r="AC214">
            <v>30.5</v>
          </cell>
        </row>
        <row r="215">
          <cell r="AC215">
            <v>31.5</v>
          </cell>
        </row>
        <row r="216">
          <cell r="AC216">
            <v>32.5</v>
          </cell>
        </row>
        <row r="217">
          <cell r="AC217">
            <v>33.5</v>
          </cell>
        </row>
        <row r="218">
          <cell r="AC218">
            <v>34.5</v>
          </cell>
        </row>
        <row r="219">
          <cell r="AC219">
            <v>35.5</v>
          </cell>
        </row>
        <row r="220">
          <cell r="AC220">
            <v>36.5</v>
          </cell>
        </row>
        <row r="221">
          <cell r="AC221">
            <v>37.5</v>
          </cell>
        </row>
        <row r="222">
          <cell r="AC222">
            <v>38.5</v>
          </cell>
        </row>
        <row r="223">
          <cell r="AC223">
            <v>39.5</v>
          </cell>
        </row>
        <row r="224">
          <cell r="AC224">
            <v>40.5</v>
          </cell>
        </row>
        <row r="225">
          <cell r="AC225">
            <v>41.5</v>
          </cell>
        </row>
        <row r="226">
          <cell r="AC226">
            <v>42.5</v>
          </cell>
        </row>
        <row r="227">
          <cell r="AC227">
            <v>43.5</v>
          </cell>
        </row>
        <row r="228">
          <cell r="AC228">
            <v>44.5</v>
          </cell>
        </row>
        <row r="229">
          <cell r="AC229">
            <v>45.5</v>
          </cell>
        </row>
        <row r="230">
          <cell r="AC230">
            <v>46.5</v>
          </cell>
        </row>
        <row r="231">
          <cell r="AC231">
            <v>47.5</v>
          </cell>
        </row>
        <row r="232">
          <cell r="AC232">
            <v>48.5</v>
          </cell>
        </row>
        <row r="233">
          <cell r="AC233">
            <v>49.5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"/>
      <sheetName val="Sediment2"/>
      <sheetName val="schweb1"/>
      <sheetName val="Blattbelag"/>
      <sheetName val="AbtriftBoden"/>
      <sheetName val="Sediment"/>
    </sheetNames>
    <sheetDataSet>
      <sheetData sheetId="0">
        <row r="184">
          <cell r="AC184">
            <v>0.5</v>
          </cell>
        </row>
        <row r="185">
          <cell r="AC185">
            <v>1.5</v>
          </cell>
        </row>
        <row r="186">
          <cell r="AC186">
            <v>2.5</v>
          </cell>
        </row>
        <row r="187">
          <cell r="AC187">
            <v>3.5</v>
          </cell>
        </row>
        <row r="188">
          <cell r="AC188">
            <v>4.5</v>
          </cell>
        </row>
        <row r="189">
          <cell r="AC189">
            <v>5.5</v>
          </cell>
        </row>
        <row r="190">
          <cell r="AC190">
            <v>6.5</v>
          </cell>
        </row>
        <row r="191">
          <cell r="AC191">
            <v>7.5</v>
          </cell>
        </row>
        <row r="192">
          <cell r="AC192">
            <v>8.5</v>
          </cell>
        </row>
        <row r="193">
          <cell r="AC193">
            <v>9.5</v>
          </cell>
        </row>
        <row r="194">
          <cell r="AC194">
            <v>10.5</v>
          </cell>
        </row>
        <row r="195">
          <cell r="AC195">
            <v>11.5</v>
          </cell>
        </row>
        <row r="196">
          <cell r="AC196">
            <v>12.5</v>
          </cell>
        </row>
        <row r="197">
          <cell r="AC197">
            <v>13.5</v>
          </cell>
        </row>
        <row r="198">
          <cell r="AC198">
            <v>14.5</v>
          </cell>
        </row>
        <row r="199">
          <cell r="AC199">
            <v>15.5</v>
          </cell>
        </row>
        <row r="200">
          <cell r="AC200">
            <v>16.5</v>
          </cell>
        </row>
        <row r="201">
          <cell r="AC201">
            <v>17.5</v>
          </cell>
        </row>
        <row r="202">
          <cell r="AC202">
            <v>18.5</v>
          </cell>
        </row>
        <row r="203">
          <cell r="AC203">
            <v>19.5</v>
          </cell>
        </row>
        <row r="204">
          <cell r="AC204">
            <v>20.5</v>
          </cell>
        </row>
        <row r="205">
          <cell r="AC205">
            <v>21.5</v>
          </cell>
        </row>
        <row r="206">
          <cell r="AC206">
            <v>22.5</v>
          </cell>
        </row>
        <row r="207">
          <cell r="AC207">
            <v>23.5</v>
          </cell>
        </row>
        <row r="208">
          <cell r="AC208">
            <v>24.5</v>
          </cell>
        </row>
        <row r="209">
          <cell r="AC209">
            <v>25.5</v>
          </cell>
        </row>
        <row r="210">
          <cell r="AC210">
            <v>26.5</v>
          </cell>
        </row>
        <row r="211">
          <cell r="AC211">
            <v>27.5</v>
          </cell>
        </row>
        <row r="212">
          <cell r="AC212">
            <v>28.5</v>
          </cell>
        </row>
        <row r="213">
          <cell r="AC213">
            <v>29.5</v>
          </cell>
        </row>
        <row r="214">
          <cell r="AC214">
            <v>30.5</v>
          </cell>
        </row>
        <row r="215">
          <cell r="AC215">
            <v>31.5</v>
          </cell>
        </row>
        <row r="216">
          <cell r="AC216">
            <v>32.5</v>
          </cell>
        </row>
        <row r="217">
          <cell r="AC217">
            <v>33.5</v>
          </cell>
        </row>
        <row r="218">
          <cell r="AC218">
            <v>34.5</v>
          </cell>
        </row>
        <row r="219">
          <cell r="AC219">
            <v>35.5</v>
          </cell>
        </row>
        <row r="220">
          <cell r="AC220">
            <v>36.5</v>
          </cell>
        </row>
        <row r="221">
          <cell r="AC221">
            <v>37.5</v>
          </cell>
        </row>
        <row r="222">
          <cell r="AC222">
            <v>38.5</v>
          </cell>
        </row>
        <row r="223">
          <cell r="AC223">
            <v>39.5</v>
          </cell>
        </row>
        <row r="224">
          <cell r="AC224">
            <v>40.5</v>
          </cell>
        </row>
        <row r="225">
          <cell r="AC225">
            <v>41.5</v>
          </cell>
        </row>
        <row r="226">
          <cell r="AC226">
            <v>42.5</v>
          </cell>
        </row>
        <row r="227">
          <cell r="AC227">
            <v>43.5</v>
          </cell>
        </row>
        <row r="228">
          <cell r="AC228">
            <v>44.5</v>
          </cell>
        </row>
        <row r="229">
          <cell r="AC229">
            <v>45.5</v>
          </cell>
        </row>
        <row r="230">
          <cell r="AC230">
            <v>46.5</v>
          </cell>
        </row>
        <row r="231">
          <cell r="AC231">
            <v>47.5</v>
          </cell>
        </row>
        <row r="232">
          <cell r="AC232">
            <v>48.5</v>
          </cell>
        </row>
        <row r="233">
          <cell r="AC233">
            <v>49.5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wahl"/>
      <sheetName val="Ackerbau"/>
      <sheetName val="Spritzenreinigung"/>
      <sheetName val="Spritzenkalkulation"/>
      <sheetName val="Beratung Ackerbau"/>
      <sheetName val="Spargel"/>
      <sheetName val="Erdbeergestänge"/>
      <sheetName val="Restmenge Mittel"/>
      <sheetName val="Restmenge_TÜV"/>
      <sheetName val="Parzellenspritzen"/>
      <sheetName val="Parzellenspritze 40 cm"/>
      <sheetName val="Parzellenspritze 50 cm"/>
      <sheetName val="Druckabfall"/>
      <sheetName val="Umrechnung Hohlkegel Flachstr."/>
      <sheetName val="Beratung AHL"/>
      <sheetName val="Formeln Feldspritzen"/>
      <sheetName val="Formeln Bandspritzen"/>
      <sheetName val="Formeln Obstbau"/>
      <sheetName val="lmin untersch Druck"/>
      <sheetName val="HARDI S 4110"/>
      <sheetName val="Tropfengrößen"/>
      <sheetName val="Applikationsbahn"/>
      <sheetName val="Giesswagen"/>
      <sheetName val="Auswertung Wassersens Papier"/>
      <sheetName val="VK-Berechnung, Düsenausstoß"/>
      <sheetName val="Beratung Ackerbau_alt"/>
      <sheetName val="Diabrotica"/>
      <sheetName val="Flächenberechnung"/>
      <sheetName val="Übersicht"/>
      <sheetName val="kompakte Injektordüsen"/>
      <sheetName val="lange Injektordüsen"/>
      <sheetName val="IDNe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K-Berechnung, Düsenausstoß"/>
      <sheetName val="VK-Berechnung, Querverteilung "/>
    </sheetNames>
    <sheetDataSet>
      <sheetData sheetId="0">
        <row r="22">
          <cell r="D22"/>
          <cell r="K22"/>
        </row>
        <row r="23">
          <cell r="K23"/>
        </row>
        <row r="24">
          <cell r="K24"/>
        </row>
        <row r="25">
          <cell r="K25"/>
        </row>
        <row r="26">
          <cell r="K26"/>
        </row>
        <row r="27">
          <cell r="K27"/>
        </row>
        <row r="28">
          <cell r="K28"/>
        </row>
        <row r="29">
          <cell r="K29"/>
        </row>
        <row r="30">
          <cell r="K30"/>
        </row>
        <row r="31">
          <cell r="K31"/>
        </row>
        <row r="32">
          <cell r="K32"/>
        </row>
        <row r="33">
          <cell r="K33"/>
        </row>
        <row r="34">
          <cell r="K34"/>
        </row>
        <row r="35">
          <cell r="K35"/>
        </row>
        <row r="36">
          <cell r="K36"/>
        </row>
        <row r="37">
          <cell r="K37"/>
        </row>
        <row r="38">
          <cell r="K38"/>
        </row>
        <row r="39">
          <cell r="K39"/>
        </row>
        <row r="40">
          <cell r="K40"/>
        </row>
        <row r="41">
          <cell r="K41"/>
        </row>
        <row r="42">
          <cell r="K42"/>
        </row>
        <row r="43">
          <cell r="K43"/>
        </row>
        <row r="44">
          <cell r="K44"/>
        </row>
        <row r="45">
          <cell r="K45"/>
        </row>
        <row r="46">
          <cell r="K46"/>
        </row>
        <row r="47">
          <cell r="K47"/>
        </row>
        <row r="48">
          <cell r="K48"/>
        </row>
        <row r="49">
          <cell r="K49"/>
        </row>
        <row r="50">
          <cell r="K50"/>
        </row>
        <row r="51">
          <cell r="K51"/>
        </row>
        <row r="52">
          <cell r="K52"/>
        </row>
        <row r="53">
          <cell r="K53"/>
        </row>
        <row r="54">
          <cell r="K54"/>
        </row>
        <row r="55">
          <cell r="K55"/>
        </row>
        <row r="56">
          <cell r="K56"/>
        </row>
        <row r="57">
          <cell r="K57"/>
        </row>
        <row r="58">
          <cell r="K58"/>
        </row>
        <row r="59">
          <cell r="K59"/>
        </row>
        <row r="60">
          <cell r="K60"/>
        </row>
        <row r="61">
          <cell r="K6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5"/>
  <sheetViews>
    <sheetView topLeftCell="B1" zoomScale="80" zoomScaleNormal="80" workbookViewId="0">
      <pane ySplit="1" topLeftCell="A2" activePane="bottomLeft" state="frozen"/>
      <selection pane="bottomLeft" activeCell="W9" sqref="W9"/>
    </sheetView>
  </sheetViews>
  <sheetFormatPr baseColWidth="10" defaultColWidth="8.88671875" defaultRowHeight="18" x14ac:dyDescent="0.25"/>
  <cols>
    <col min="1" max="1" width="8.88671875" style="197"/>
    <col min="2" max="2" width="13.6640625" style="197" bestFit="1" customWidth="1"/>
    <col min="3" max="3" width="31.33203125" style="197" customWidth="1"/>
    <col min="4" max="5" width="11.5546875" style="197" customWidth="1"/>
    <col min="6" max="13" width="8.88671875" style="197" customWidth="1"/>
    <col min="14" max="15" width="8.88671875" style="197"/>
    <col min="16" max="16" width="12.21875" style="197" customWidth="1"/>
    <col min="17" max="18" width="8.88671875" style="197"/>
    <col min="19" max="19" width="12.33203125" style="197" bestFit="1" customWidth="1"/>
    <col min="20" max="20" width="23.33203125" style="197" bestFit="1" customWidth="1"/>
    <col min="21" max="21" width="19.21875" style="197" bestFit="1" customWidth="1"/>
    <col min="22" max="16384" width="8.88671875" style="197"/>
  </cols>
  <sheetData>
    <row r="1" spans="1:23" s="196" customFormat="1" ht="54.75" thickBot="1" x14ac:dyDescent="0.25">
      <c r="A1" s="195" t="s">
        <v>83</v>
      </c>
      <c r="B1" s="195" t="s">
        <v>84</v>
      </c>
      <c r="C1" s="195" t="s">
        <v>85</v>
      </c>
      <c r="D1" s="195" t="s">
        <v>86</v>
      </c>
      <c r="E1" s="195" t="s">
        <v>87</v>
      </c>
      <c r="F1" s="195" t="s">
        <v>88</v>
      </c>
      <c r="G1" s="195" t="s">
        <v>74</v>
      </c>
      <c r="H1" s="204">
        <v>50</v>
      </c>
      <c r="I1" s="205">
        <v>50</v>
      </c>
      <c r="J1" s="206">
        <v>75</v>
      </c>
      <c r="K1" s="206">
        <v>75</v>
      </c>
      <c r="L1" s="207">
        <v>90</v>
      </c>
      <c r="M1" s="208">
        <v>90</v>
      </c>
      <c r="N1" s="209">
        <v>95</v>
      </c>
      <c r="O1" s="210"/>
      <c r="P1" s="195" t="s">
        <v>89</v>
      </c>
      <c r="S1" s="196">
        <f ca="1">YEAR(TODAY())</f>
        <v>2023</v>
      </c>
      <c r="T1" s="196" t="s">
        <v>90</v>
      </c>
      <c r="U1" s="196" t="s">
        <v>91</v>
      </c>
      <c r="V1" s="426" t="s">
        <v>229</v>
      </c>
      <c r="W1" s="426"/>
    </row>
    <row r="2" spans="1:23" x14ac:dyDescent="0.25">
      <c r="A2" s="197">
        <v>1613</v>
      </c>
      <c r="B2" s="197" t="s">
        <v>92</v>
      </c>
      <c r="C2" s="197" t="s">
        <v>93</v>
      </c>
      <c r="D2" s="196">
        <v>50</v>
      </c>
      <c r="E2" s="196" t="s">
        <v>94</v>
      </c>
      <c r="F2" s="198">
        <v>2</v>
      </c>
      <c r="G2" s="198">
        <v>8</v>
      </c>
      <c r="H2" s="198">
        <v>2</v>
      </c>
      <c r="I2" s="198">
        <v>5</v>
      </c>
      <c r="J2" s="198">
        <v>2</v>
      </c>
      <c r="K2" s="198">
        <v>3</v>
      </c>
      <c r="L2" s="198">
        <v>2</v>
      </c>
      <c r="M2" s="198">
        <v>2.5</v>
      </c>
      <c r="N2" s="198">
        <v>0</v>
      </c>
      <c r="O2" s="198">
        <v>0</v>
      </c>
      <c r="P2" s="197">
        <v>2024</v>
      </c>
      <c r="Q2" s="197" t="s">
        <v>95</v>
      </c>
      <c r="R2" s="197" t="s">
        <v>96</v>
      </c>
      <c r="S2" s="197" t="s">
        <v>97</v>
      </c>
    </row>
    <row r="3" spans="1:23" x14ac:dyDescent="0.25">
      <c r="A3" s="197">
        <v>1638</v>
      </c>
      <c r="B3" s="197" t="s">
        <v>98</v>
      </c>
      <c r="C3" s="197" t="s">
        <v>99</v>
      </c>
      <c r="D3" s="196">
        <v>50</v>
      </c>
      <c r="E3" s="196" t="s">
        <v>94</v>
      </c>
      <c r="F3" s="198">
        <v>1</v>
      </c>
      <c r="G3" s="198">
        <v>6</v>
      </c>
      <c r="H3" s="198">
        <v>1</v>
      </c>
      <c r="I3" s="198">
        <v>6</v>
      </c>
      <c r="J3" s="198">
        <v>1</v>
      </c>
      <c r="K3" s="198">
        <v>1.5</v>
      </c>
      <c r="L3" s="198">
        <v>1</v>
      </c>
      <c r="M3" s="198">
        <v>1</v>
      </c>
      <c r="N3" s="198">
        <v>0</v>
      </c>
      <c r="O3" s="198">
        <v>0</v>
      </c>
      <c r="P3" s="197">
        <v>2024</v>
      </c>
      <c r="Q3" s="197" t="s">
        <v>100</v>
      </c>
      <c r="R3" s="197" t="s">
        <v>96</v>
      </c>
      <c r="S3" s="197" t="s">
        <v>97</v>
      </c>
    </row>
    <row r="4" spans="1:23" x14ac:dyDescent="0.25">
      <c r="A4" s="197">
        <v>1996</v>
      </c>
      <c r="B4" s="197" t="s">
        <v>98</v>
      </c>
      <c r="C4" s="197" t="s">
        <v>101</v>
      </c>
      <c r="D4" s="196">
        <v>50</v>
      </c>
      <c r="E4" s="196">
        <v>50</v>
      </c>
      <c r="F4" s="198">
        <v>1.5</v>
      </c>
      <c r="G4" s="198">
        <v>8</v>
      </c>
      <c r="H4" s="198">
        <v>2.5</v>
      </c>
      <c r="I4" s="198">
        <v>6</v>
      </c>
      <c r="J4" s="198">
        <v>2.5</v>
      </c>
      <c r="K4" s="198">
        <v>3.5</v>
      </c>
      <c r="L4" s="198">
        <v>2.5</v>
      </c>
      <c r="M4" s="198">
        <v>2.5</v>
      </c>
      <c r="N4" s="198">
        <v>0</v>
      </c>
      <c r="O4" s="198">
        <v>0</v>
      </c>
      <c r="P4" s="197">
        <v>2026</v>
      </c>
      <c r="Q4" s="197" t="s">
        <v>100</v>
      </c>
      <c r="R4" s="197" t="s">
        <v>96</v>
      </c>
      <c r="S4" s="197" t="s">
        <v>102</v>
      </c>
      <c r="T4" s="197" t="s">
        <v>103</v>
      </c>
    </row>
    <row r="5" spans="1:23" x14ac:dyDescent="0.25">
      <c r="A5" s="197">
        <v>1891</v>
      </c>
      <c r="B5" s="197" t="s">
        <v>98</v>
      </c>
      <c r="C5" s="197" t="s">
        <v>104</v>
      </c>
      <c r="D5" s="196">
        <v>50</v>
      </c>
      <c r="E5" s="196">
        <v>50</v>
      </c>
      <c r="F5" s="198">
        <v>1.5</v>
      </c>
      <c r="G5" s="198">
        <v>6</v>
      </c>
      <c r="H5" s="198">
        <v>1.5</v>
      </c>
      <c r="I5" s="198">
        <v>6</v>
      </c>
      <c r="J5" s="198">
        <v>1.5</v>
      </c>
      <c r="K5" s="198">
        <v>2</v>
      </c>
      <c r="L5" s="198">
        <v>1.5</v>
      </c>
      <c r="M5" s="198">
        <v>1.5</v>
      </c>
      <c r="N5" s="198">
        <v>0</v>
      </c>
      <c r="O5" s="198">
        <v>0</v>
      </c>
      <c r="P5" s="197">
        <v>2026</v>
      </c>
      <c r="Q5" s="197" t="s">
        <v>100</v>
      </c>
      <c r="R5" s="197" t="s">
        <v>96</v>
      </c>
      <c r="S5" s="197" t="s">
        <v>102</v>
      </c>
      <c r="T5" s="197" t="s">
        <v>105</v>
      </c>
    </row>
    <row r="6" spans="1:23" x14ac:dyDescent="0.25">
      <c r="A6" s="197">
        <v>1892</v>
      </c>
      <c r="B6" s="197" t="s">
        <v>98</v>
      </c>
      <c r="C6" s="197" t="s">
        <v>106</v>
      </c>
      <c r="D6" s="196">
        <v>50</v>
      </c>
      <c r="E6" s="196">
        <v>50</v>
      </c>
      <c r="F6" s="198">
        <v>2</v>
      </c>
      <c r="G6" s="198">
        <v>8</v>
      </c>
      <c r="H6" s="198">
        <v>2</v>
      </c>
      <c r="I6" s="198">
        <v>6</v>
      </c>
      <c r="J6" s="198">
        <v>2</v>
      </c>
      <c r="K6" s="198">
        <v>3</v>
      </c>
      <c r="L6" s="198">
        <v>2</v>
      </c>
      <c r="M6" s="198">
        <v>2</v>
      </c>
      <c r="N6" s="198">
        <v>0</v>
      </c>
      <c r="O6" s="198">
        <v>0</v>
      </c>
      <c r="P6" s="197">
        <v>2026</v>
      </c>
      <c r="Q6" s="197" t="s">
        <v>95</v>
      </c>
      <c r="R6" s="197" t="s">
        <v>96</v>
      </c>
      <c r="S6" s="197" t="s">
        <v>102</v>
      </c>
      <c r="T6" s="197" t="s">
        <v>107</v>
      </c>
    </row>
    <row r="7" spans="1:23" x14ac:dyDescent="0.25">
      <c r="A7" s="197">
        <v>1892</v>
      </c>
      <c r="B7" s="197" t="s">
        <v>98</v>
      </c>
      <c r="C7" s="197" t="s">
        <v>106</v>
      </c>
      <c r="D7" s="196">
        <v>50</v>
      </c>
      <c r="E7" s="196">
        <v>50</v>
      </c>
      <c r="F7" s="198">
        <v>1.5</v>
      </c>
      <c r="G7" s="198">
        <v>6</v>
      </c>
      <c r="H7" s="198">
        <v>1.5</v>
      </c>
      <c r="I7" s="198">
        <v>6</v>
      </c>
      <c r="J7" s="198">
        <v>1.5</v>
      </c>
      <c r="K7" s="198">
        <v>6</v>
      </c>
      <c r="L7" s="198">
        <v>1.5</v>
      </c>
      <c r="M7" s="198">
        <v>1.5</v>
      </c>
      <c r="N7" s="198">
        <v>0</v>
      </c>
      <c r="O7" s="198">
        <v>0</v>
      </c>
      <c r="P7" s="197">
        <v>2026</v>
      </c>
      <c r="Q7" s="197" t="s">
        <v>100</v>
      </c>
      <c r="R7" s="197" t="s">
        <v>96</v>
      </c>
      <c r="S7" s="197" t="s">
        <v>102</v>
      </c>
      <c r="T7" s="197" t="s">
        <v>108</v>
      </c>
    </row>
    <row r="8" spans="1:23" x14ac:dyDescent="0.25">
      <c r="A8" s="197">
        <v>1892</v>
      </c>
      <c r="B8" s="197" t="s">
        <v>98</v>
      </c>
      <c r="C8" s="197" t="s">
        <v>106</v>
      </c>
      <c r="D8" s="196">
        <v>50</v>
      </c>
      <c r="E8" s="196">
        <v>50</v>
      </c>
      <c r="F8" s="198">
        <v>2</v>
      </c>
      <c r="G8" s="198">
        <v>6</v>
      </c>
      <c r="H8" s="198">
        <v>2</v>
      </c>
      <c r="I8" s="198">
        <v>6</v>
      </c>
      <c r="J8" s="198">
        <v>2</v>
      </c>
      <c r="K8" s="198">
        <v>3</v>
      </c>
      <c r="L8" s="198">
        <v>2</v>
      </c>
      <c r="M8" s="198">
        <v>2</v>
      </c>
      <c r="N8" s="198">
        <v>0</v>
      </c>
      <c r="O8" s="198">
        <v>0</v>
      </c>
      <c r="P8" s="197">
        <v>2026</v>
      </c>
      <c r="Q8" s="197" t="s">
        <v>100</v>
      </c>
      <c r="R8" s="197" t="s">
        <v>96</v>
      </c>
      <c r="S8" s="197" t="s">
        <v>102</v>
      </c>
      <c r="T8" s="197" t="s">
        <v>109</v>
      </c>
    </row>
    <row r="9" spans="1:23" x14ac:dyDescent="0.25">
      <c r="A9" s="197">
        <v>1893</v>
      </c>
      <c r="B9" s="197" t="s">
        <v>98</v>
      </c>
      <c r="C9" s="197" t="s">
        <v>110</v>
      </c>
      <c r="D9" s="196">
        <v>50</v>
      </c>
      <c r="E9" s="196">
        <v>50</v>
      </c>
      <c r="F9" s="198">
        <v>1</v>
      </c>
      <c r="G9" s="198">
        <v>6</v>
      </c>
      <c r="H9" s="198">
        <v>1</v>
      </c>
      <c r="I9" s="198">
        <v>6</v>
      </c>
      <c r="J9" s="198">
        <v>1</v>
      </c>
      <c r="K9" s="198">
        <v>1.5</v>
      </c>
      <c r="L9" s="198">
        <v>1</v>
      </c>
      <c r="M9" s="198">
        <v>1</v>
      </c>
      <c r="N9" s="198">
        <v>0</v>
      </c>
      <c r="O9" s="198">
        <v>0</v>
      </c>
      <c r="P9" s="197">
        <v>2026</v>
      </c>
      <c r="Q9" s="197" t="s">
        <v>100</v>
      </c>
      <c r="R9" s="197" t="s">
        <v>96</v>
      </c>
      <c r="S9" s="197" t="s">
        <v>102</v>
      </c>
      <c r="T9" s="197" t="s">
        <v>99</v>
      </c>
    </row>
    <row r="10" spans="1:23" x14ac:dyDescent="0.25">
      <c r="A10" s="197">
        <v>1893</v>
      </c>
      <c r="B10" s="197" t="s">
        <v>98</v>
      </c>
      <c r="C10" s="197" t="s">
        <v>110</v>
      </c>
      <c r="D10" s="196">
        <v>50</v>
      </c>
      <c r="E10" s="196">
        <v>50</v>
      </c>
      <c r="F10" s="198">
        <v>2</v>
      </c>
      <c r="G10" s="198">
        <v>6</v>
      </c>
      <c r="H10" s="198">
        <v>2</v>
      </c>
      <c r="I10" s="198">
        <v>6</v>
      </c>
      <c r="J10" s="198">
        <v>2</v>
      </c>
      <c r="K10" s="198">
        <v>5</v>
      </c>
      <c r="L10" s="198">
        <v>2</v>
      </c>
      <c r="M10" s="198">
        <v>2.5</v>
      </c>
      <c r="N10" s="198">
        <v>0</v>
      </c>
      <c r="O10" s="198">
        <v>0</v>
      </c>
      <c r="P10" s="197">
        <v>2026</v>
      </c>
      <c r="Q10" s="197" t="s">
        <v>100</v>
      </c>
      <c r="R10" s="197" t="s">
        <v>96</v>
      </c>
      <c r="S10" s="197" t="s">
        <v>102</v>
      </c>
      <c r="T10" s="197" t="s">
        <v>111</v>
      </c>
    </row>
    <row r="11" spans="1:23" x14ac:dyDescent="0.25">
      <c r="A11" s="197">
        <v>1848</v>
      </c>
      <c r="B11" s="197" t="s">
        <v>92</v>
      </c>
      <c r="C11" s="197" t="s">
        <v>112</v>
      </c>
      <c r="D11" s="196">
        <v>50</v>
      </c>
      <c r="E11" s="196">
        <v>50</v>
      </c>
      <c r="F11" s="198">
        <v>1.5</v>
      </c>
      <c r="G11" s="198">
        <v>8</v>
      </c>
      <c r="H11" s="198">
        <v>1.5</v>
      </c>
      <c r="I11" s="198">
        <v>4</v>
      </c>
      <c r="J11" s="198">
        <v>1.5</v>
      </c>
      <c r="K11" s="198">
        <v>2</v>
      </c>
      <c r="L11" s="198">
        <v>1.5</v>
      </c>
      <c r="M11" s="198">
        <v>1.5</v>
      </c>
      <c r="N11" s="198">
        <v>0</v>
      </c>
      <c r="O11" s="198">
        <v>0</v>
      </c>
      <c r="P11" s="197">
        <v>2027</v>
      </c>
      <c r="Q11" s="197" t="s">
        <v>95</v>
      </c>
      <c r="R11" s="197" t="s">
        <v>96</v>
      </c>
      <c r="S11" s="197" t="s">
        <v>113</v>
      </c>
    </row>
    <row r="12" spans="1:23" x14ac:dyDescent="0.25">
      <c r="A12" s="197">
        <v>2161</v>
      </c>
      <c r="B12" s="197" t="s">
        <v>92</v>
      </c>
      <c r="C12" s="197" t="s">
        <v>114</v>
      </c>
      <c r="D12" s="196">
        <v>50</v>
      </c>
      <c r="E12" s="196">
        <v>50</v>
      </c>
      <c r="F12" s="198">
        <v>1.5</v>
      </c>
      <c r="G12" s="198">
        <v>8</v>
      </c>
      <c r="H12" s="198">
        <v>1.5</v>
      </c>
      <c r="I12" s="198">
        <v>8</v>
      </c>
      <c r="J12" s="198">
        <v>1.5</v>
      </c>
      <c r="K12" s="198">
        <v>8</v>
      </c>
      <c r="L12" s="198">
        <v>1.5</v>
      </c>
      <c r="M12" s="198">
        <v>3</v>
      </c>
      <c r="N12" s="198">
        <v>0</v>
      </c>
      <c r="O12" s="198">
        <v>0</v>
      </c>
      <c r="P12" s="197">
        <v>2025</v>
      </c>
      <c r="Q12" s="197" t="s">
        <v>95</v>
      </c>
      <c r="R12" s="197" t="s">
        <v>96</v>
      </c>
      <c r="S12" s="197" t="s">
        <v>113</v>
      </c>
    </row>
    <row r="13" spans="1:23" x14ac:dyDescent="0.25">
      <c r="A13" s="197">
        <v>2200</v>
      </c>
      <c r="B13" s="197" t="s">
        <v>92</v>
      </c>
      <c r="C13" s="197" t="s">
        <v>115</v>
      </c>
      <c r="D13" s="196">
        <v>50</v>
      </c>
      <c r="E13" s="196">
        <v>50</v>
      </c>
      <c r="F13" s="198">
        <v>1.5</v>
      </c>
      <c r="G13" s="198">
        <v>8</v>
      </c>
      <c r="H13" s="198">
        <v>1.5</v>
      </c>
      <c r="I13" s="198">
        <v>5</v>
      </c>
      <c r="J13" s="198">
        <v>1.5</v>
      </c>
      <c r="K13" s="198">
        <v>2.5</v>
      </c>
      <c r="L13" s="198">
        <v>1.5</v>
      </c>
      <c r="M13" s="198">
        <v>1.5</v>
      </c>
      <c r="N13" s="198">
        <v>0</v>
      </c>
      <c r="O13" s="198">
        <v>0</v>
      </c>
      <c r="P13" s="197">
        <v>2026</v>
      </c>
      <c r="Q13" s="197" t="s">
        <v>95</v>
      </c>
      <c r="R13" s="197" t="s">
        <v>96</v>
      </c>
      <c r="S13" s="197" t="s">
        <v>113</v>
      </c>
    </row>
    <row r="14" spans="1:23" x14ac:dyDescent="0.25">
      <c r="A14" s="197">
        <v>1758</v>
      </c>
      <c r="B14" s="197" t="s">
        <v>92</v>
      </c>
      <c r="C14" s="197" t="s">
        <v>116</v>
      </c>
      <c r="D14" s="196">
        <v>50</v>
      </c>
      <c r="E14" s="196" t="s">
        <v>94</v>
      </c>
      <c r="F14" s="198">
        <v>2</v>
      </c>
      <c r="G14" s="198">
        <v>8</v>
      </c>
      <c r="H14" s="198">
        <v>2</v>
      </c>
      <c r="I14" s="198">
        <v>5</v>
      </c>
      <c r="J14" s="198">
        <v>2</v>
      </c>
      <c r="K14" s="198">
        <v>3</v>
      </c>
      <c r="L14" s="198">
        <v>2</v>
      </c>
      <c r="M14" s="198">
        <v>2.5</v>
      </c>
      <c r="N14" s="198">
        <v>0</v>
      </c>
      <c r="O14" s="198">
        <v>0</v>
      </c>
      <c r="P14" s="197">
        <v>2023</v>
      </c>
      <c r="Q14" s="197" t="s">
        <v>95</v>
      </c>
      <c r="R14" s="197" t="s">
        <v>96</v>
      </c>
      <c r="S14" s="197" t="s">
        <v>102</v>
      </c>
      <c r="T14" s="197" t="s">
        <v>117</v>
      </c>
    </row>
    <row r="15" spans="1:23" x14ac:dyDescent="0.25">
      <c r="A15" s="197">
        <v>1758</v>
      </c>
      <c r="B15" s="197" t="s">
        <v>92</v>
      </c>
      <c r="C15" s="197" t="s">
        <v>116</v>
      </c>
      <c r="D15" s="196">
        <v>50</v>
      </c>
      <c r="E15" s="196" t="s">
        <v>94</v>
      </c>
      <c r="F15" s="198">
        <v>2</v>
      </c>
      <c r="G15" s="198">
        <v>8</v>
      </c>
      <c r="H15" s="198">
        <v>2</v>
      </c>
      <c r="I15" s="198">
        <v>5</v>
      </c>
      <c r="J15" s="198">
        <v>2</v>
      </c>
      <c r="K15" s="198">
        <v>3</v>
      </c>
      <c r="L15" s="198">
        <v>2</v>
      </c>
      <c r="M15" s="198">
        <v>2.5</v>
      </c>
      <c r="N15" s="198">
        <v>0</v>
      </c>
      <c r="O15" s="198">
        <v>0</v>
      </c>
      <c r="P15" s="197">
        <v>2023</v>
      </c>
      <c r="Q15" s="197" t="s">
        <v>95</v>
      </c>
      <c r="R15" s="197" t="s">
        <v>96</v>
      </c>
      <c r="S15" s="197" t="s">
        <v>102</v>
      </c>
      <c r="T15" s="197" t="s">
        <v>118</v>
      </c>
    </row>
    <row r="16" spans="1:23" x14ac:dyDescent="0.25">
      <c r="A16" s="197">
        <v>1795</v>
      </c>
      <c r="B16" s="197" t="s">
        <v>92</v>
      </c>
      <c r="C16" s="197" t="s">
        <v>119</v>
      </c>
      <c r="D16" s="196">
        <v>50</v>
      </c>
      <c r="E16" s="196" t="s">
        <v>94</v>
      </c>
      <c r="F16" s="198">
        <v>1</v>
      </c>
      <c r="G16" s="198">
        <v>6</v>
      </c>
      <c r="H16" s="198">
        <v>1</v>
      </c>
      <c r="I16" s="198">
        <v>6</v>
      </c>
      <c r="J16" s="198">
        <v>1</v>
      </c>
      <c r="K16" s="198">
        <v>2.5</v>
      </c>
      <c r="L16" s="198">
        <v>1</v>
      </c>
      <c r="M16" s="198">
        <v>1.5</v>
      </c>
      <c r="N16" s="198">
        <v>0</v>
      </c>
      <c r="O16" s="198">
        <v>0</v>
      </c>
      <c r="P16" s="197">
        <v>2025</v>
      </c>
      <c r="Q16" s="197" t="s">
        <v>100</v>
      </c>
      <c r="R16" s="197" t="s">
        <v>96</v>
      </c>
      <c r="S16" s="197" t="s">
        <v>97</v>
      </c>
    </row>
    <row r="17" spans="1:19" x14ac:dyDescent="0.25">
      <c r="A17" s="197">
        <v>2282</v>
      </c>
      <c r="B17" s="197" t="s">
        <v>92</v>
      </c>
      <c r="C17" s="197" t="s">
        <v>120</v>
      </c>
      <c r="D17" s="196">
        <v>50</v>
      </c>
      <c r="E17" s="196">
        <v>50</v>
      </c>
      <c r="F17" s="198">
        <v>2</v>
      </c>
      <c r="G17" s="198">
        <v>7</v>
      </c>
      <c r="H17" s="198">
        <v>2</v>
      </c>
      <c r="I17" s="198">
        <v>5</v>
      </c>
      <c r="J17" s="198">
        <v>2</v>
      </c>
      <c r="K17" s="198">
        <v>4</v>
      </c>
      <c r="L17" s="198">
        <v>2</v>
      </c>
      <c r="M17" s="198">
        <v>3</v>
      </c>
      <c r="N17" s="198">
        <v>0</v>
      </c>
      <c r="O17" s="198">
        <v>0</v>
      </c>
      <c r="P17" s="197">
        <v>2027</v>
      </c>
      <c r="Q17" s="197" t="s">
        <v>121</v>
      </c>
      <c r="R17" s="197" t="s">
        <v>96</v>
      </c>
      <c r="S17" s="197" t="s">
        <v>113</v>
      </c>
    </row>
    <row r="18" spans="1:19" x14ac:dyDescent="0.25">
      <c r="A18" s="197">
        <v>2280</v>
      </c>
      <c r="B18" s="197" t="s">
        <v>92</v>
      </c>
      <c r="C18" s="197" t="s">
        <v>122</v>
      </c>
      <c r="D18" s="196">
        <v>50</v>
      </c>
      <c r="E18" s="196">
        <v>50</v>
      </c>
      <c r="F18" s="198">
        <v>2</v>
      </c>
      <c r="G18" s="198">
        <v>7</v>
      </c>
      <c r="H18" s="198">
        <v>2</v>
      </c>
      <c r="I18" s="198">
        <v>7</v>
      </c>
      <c r="J18" s="198">
        <v>2</v>
      </c>
      <c r="K18" s="198">
        <v>5</v>
      </c>
      <c r="L18" s="198">
        <v>2</v>
      </c>
      <c r="M18" s="198">
        <v>3</v>
      </c>
      <c r="N18" s="198">
        <v>0</v>
      </c>
      <c r="O18" s="198">
        <v>0</v>
      </c>
      <c r="P18" s="197">
        <v>2027</v>
      </c>
      <c r="Q18" s="197" t="s">
        <v>121</v>
      </c>
      <c r="R18" s="197" t="s">
        <v>96</v>
      </c>
      <c r="S18" s="197" t="s">
        <v>113</v>
      </c>
    </row>
    <row r="19" spans="1:19" x14ac:dyDescent="0.25">
      <c r="A19" s="197">
        <v>2281</v>
      </c>
      <c r="B19" s="197" t="s">
        <v>92</v>
      </c>
      <c r="C19" s="197" t="s">
        <v>123</v>
      </c>
      <c r="D19" s="196">
        <v>50</v>
      </c>
      <c r="E19" s="196">
        <v>50</v>
      </c>
      <c r="F19" s="198">
        <v>2</v>
      </c>
      <c r="G19" s="198">
        <v>7</v>
      </c>
      <c r="H19" s="198">
        <v>2</v>
      </c>
      <c r="I19" s="198">
        <v>7</v>
      </c>
      <c r="J19" s="198">
        <v>2</v>
      </c>
      <c r="K19" s="198">
        <v>5</v>
      </c>
      <c r="L19" s="198">
        <v>2</v>
      </c>
      <c r="M19" s="198">
        <v>3</v>
      </c>
      <c r="N19" s="198">
        <v>0</v>
      </c>
      <c r="O19" s="198">
        <v>0</v>
      </c>
      <c r="P19" s="197">
        <v>2027</v>
      </c>
      <c r="Q19" s="197" t="s">
        <v>121</v>
      </c>
      <c r="R19" s="197" t="s">
        <v>96</v>
      </c>
      <c r="S19" s="197" t="s">
        <v>113</v>
      </c>
    </row>
    <row r="20" spans="1:19" x14ac:dyDescent="0.25">
      <c r="A20" s="197">
        <v>2293</v>
      </c>
      <c r="B20" s="197" t="s">
        <v>98</v>
      </c>
      <c r="C20" s="197" t="s">
        <v>124</v>
      </c>
      <c r="D20" s="196">
        <v>50</v>
      </c>
      <c r="E20" s="196">
        <v>50</v>
      </c>
      <c r="F20" s="198">
        <v>3</v>
      </c>
      <c r="G20" s="198">
        <v>7</v>
      </c>
      <c r="H20" s="198">
        <v>3</v>
      </c>
      <c r="I20" s="198">
        <v>5</v>
      </c>
      <c r="J20" s="198">
        <v>3</v>
      </c>
      <c r="K20" s="198">
        <v>4</v>
      </c>
      <c r="L20" s="198">
        <v>3</v>
      </c>
      <c r="M20" s="198">
        <v>3</v>
      </c>
      <c r="N20" s="198">
        <v>0</v>
      </c>
      <c r="O20" s="198">
        <v>0</v>
      </c>
      <c r="P20" s="197">
        <v>2028</v>
      </c>
      <c r="Q20" s="197" t="s">
        <v>95</v>
      </c>
      <c r="R20" s="197" t="s">
        <v>96</v>
      </c>
      <c r="S20" s="197" t="s">
        <v>97</v>
      </c>
    </row>
    <row r="21" spans="1:19" x14ac:dyDescent="0.25">
      <c r="A21" s="197">
        <v>2294</v>
      </c>
      <c r="B21" s="197" t="s">
        <v>98</v>
      </c>
      <c r="C21" s="197" t="s">
        <v>125</v>
      </c>
      <c r="D21" s="196">
        <v>50</v>
      </c>
      <c r="E21" s="196">
        <v>50</v>
      </c>
      <c r="F21" s="198">
        <v>3</v>
      </c>
      <c r="G21" s="198">
        <v>7</v>
      </c>
      <c r="H21" s="198">
        <v>3</v>
      </c>
      <c r="I21" s="198">
        <v>5</v>
      </c>
      <c r="J21" s="198">
        <v>3</v>
      </c>
      <c r="K21" s="198">
        <v>5</v>
      </c>
      <c r="L21" s="198">
        <v>3</v>
      </c>
      <c r="M21" s="198">
        <v>3</v>
      </c>
      <c r="N21" s="198">
        <v>0</v>
      </c>
      <c r="O21" s="198">
        <v>0</v>
      </c>
      <c r="P21" s="197">
        <v>2028</v>
      </c>
      <c r="Q21" s="197" t="s">
        <v>95</v>
      </c>
      <c r="R21" s="197" t="s">
        <v>96</v>
      </c>
      <c r="S21" s="197" t="s">
        <v>97</v>
      </c>
    </row>
    <row r="22" spans="1:19" x14ac:dyDescent="0.25">
      <c r="A22" s="197">
        <v>2295</v>
      </c>
      <c r="B22" s="197" t="s">
        <v>98</v>
      </c>
      <c r="C22" s="197" t="s">
        <v>126</v>
      </c>
      <c r="D22" s="196">
        <v>50</v>
      </c>
      <c r="E22" s="196">
        <v>50</v>
      </c>
      <c r="F22" s="198">
        <v>3</v>
      </c>
      <c r="G22" s="198">
        <v>7</v>
      </c>
      <c r="H22" s="198">
        <v>3</v>
      </c>
      <c r="I22" s="198">
        <v>5</v>
      </c>
      <c r="J22" s="198">
        <v>3</v>
      </c>
      <c r="K22" s="198">
        <v>5</v>
      </c>
      <c r="L22" s="198">
        <v>3</v>
      </c>
      <c r="M22" s="198">
        <v>4</v>
      </c>
      <c r="N22" s="198">
        <v>0</v>
      </c>
      <c r="O22" s="198">
        <v>0</v>
      </c>
      <c r="P22" s="197">
        <v>2028</v>
      </c>
      <c r="Q22" s="197" t="s">
        <v>95</v>
      </c>
      <c r="R22" s="197" t="s">
        <v>96</v>
      </c>
      <c r="S22" s="197" t="s">
        <v>97</v>
      </c>
    </row>
    <row r="23" spans="1:19" x14ac:dyDescent="0.25">
      <c r="A23" s="197">
        <v>1964</v>
      </c>
      <c r="B23" s="197" t="s">
        <v>98</v>
      </c>
      <c r="C23" s="197" t="s">
        <v>127</v>
      </c>
      <c r="D23" s="196">
        <v>25</v>
      </c>
      <c r="E23" s="196">
        <v>40</v>
      </c>
      <c r="F23" s="198">
        <v>3</v>
      </c>
      <c r="G23" s="198">
        <v>8</v>
      </c>
      <c r="H23" s="198">
        <v>3</v>
      </c>
      <c r="I23" s="198">
        <v>8</v>
      </c>
      <c r="J23" s="198">
        <v>3</v>
      </c>
      <c r="K23" s="198">
        <v>8</v>
      </c>
      <c r="L23" s="198">
        <v>3</v>
      </c>
      <c r="M23" s="198">
        <v>8</v>
      </c>
      <c r="N23" s="198">
        <v>0</v>
      </c>
      <c r="O23" s="198">
        <v>0</v>
      </c>
      <c r="P23" s="197">
        <v>2027</v>
      </c>
      <c r="Q23" s="197" t="s">
        <v>100</v>
      </c>
      <c r="R23" s="197" t="s">
        <v>96</v>
      </c>
      <c r="S23" s="197" t="s">
        <v>97</v>
      </c>
    </row>
    <row r="24" spans="1:19" x14ac:dyDescent="0.25">
      <c r="A24" s="197">
        <v>1903</v>
      </c>
      <c r="B24" s="197" t="s">
        <v>98</v>
      </c>
      <c r="C24" s="197" t="s">
        <v>105</v>
      </c>
      <c r="D24" s="196">
        <v>50</v>
      </c>
      <c r="E24" s="196">
        <v>50</v>
      </c>
      <c r="F24" s="198">
        <v>1.5</v>
      </c>
      <c r="G24" s="198">
        <v>6</v>
      </c>
      <c r="H24" s="198">
        <v>1.5</v>
      </c>
      <c r="I24" s="198">
        <v>6</v>
      </c>
      <c r="J24" s="198">
        <v>1.5</v>
      </c>
      <c r="K24" s="198">
        <v>2</v>
      </c>
      <c r="L24" s="198">
        <v>1.5</v>
      </c>
      <c r="M24" s="198">
        <v>1.5</v>
      </c>
      <c r="N24" s="198">
        <v>0</v>
      </c>
      <c r="O24" s="198">
        <v>0</v>
      </c>
      <c r="P24" s="197">
        <v>2023</v>
      </c>
      <c r="Q24" s="197" t="s">
        <v>100</v>
      </c>
      <c r="R24" s="197" t="s">
        <v>96</v>
      </c>
      <c r="S24" s="197" t="s">
        <v>113</v>
      </c>
    </row>
    <row r="25" spans="1:19" x14ac:dyDescent="0.25">
      <c r="A25" s="197">
        <v>1905</v>
      </c>
      <c r="B25" s="197" t="s">
        <v>98</v>
      </c>
      <c r="C25" s="197" t="s">
        <v>108</v>
      </c>
      <c r="D25" s="196">
        <v>50</v>
      </c>
      <c r="E25" s="196">
        <v>50</v>
      </c>
      <c r="F25" s="198">
        <v>1.5</v>
      </c>
      <c r="G25" s="198">
        <v>6</v>
      </c>
      <c r="H25" s="198">
        <v>1.5</v>
      </c>
      <c r="I25" s="198">
        <v>6</v>
      </c>
      <c r="J25" s="198">
        <v>1.5</v>
      </c>
      <c r="K25" s="198">
        <v>6</v>
      </c>
      <c r="L25" s="198">
        <v>1.5</v>
      </c>
      <c r="M25" s="198">
        <v>1.5</v>
      </c>
      <c r="N25" s="198">
        <v>0</v>
      </c>
      <c r="O25" s="198">
        <v>0</v>
      </c>
      <c r="P25" s="197">
        <v>2023</v>
      </c>
      <c r="Q25" s="197" t="s">
        <v>100</v>
      </c>
      <c r="R25" s="197" t="s">
        <v>96</v>
      </c>
      <c r="S25" s="197" t="s">
        <v>113</v>
      </c>
    </row>
    <row r="26" spans="1:19" x14ac:dyDescent="0.25">
      <c r="A26" s="197">
        <v>1435</v>
      </c>
      <c r="B26" s="197" t="s">
        <v>128</v>
      </c>
      <c r="C26" s="197" t="s">
        <v>129</v>
      </c>
      <c r="D26" s="196" t="s">
        <v>130</v>
      </c>
      <c r="E26" s="196"/>
      <c r="F26" s="198">
        <v>1.5</v>
      </c>
      <c r="G26" s="198">
        <v>3</v>
      </c>
      <c r="H26" s="198">
        <v>1.5</v>
      </c>
      <c r="I26" s="198">
        <v>3</v>
      </c>
      <c r="J26" s="198">
        <v>1.5</v>
      </c>
      <c r="K26" s="198">
        <v>3</v>
      </c>
      <c r="L26" s="198">
        <v>1.5</v>
      </c>
      <c r="M26" s="198">
        <v>3</v>
      </c>
      <c r="N26" s="198">
        <v>0</v>
      </c>
      <c r="O26" s="198">
        <v>0</v>
      </c>
      <c r="P26" s="197">
        <v>2023</v>
      </c>
      <c r="Q26" s="197" t="s">
        <v>121</v>
      </c>
      <c r="R26" s="197" t="s">
        <v>130</v>
      </c>
      <c r="S26" s="197" t="s">
        <v>97</v>
      </c>
    </row>
    <row r="27" spans="1:19" x14ac:dyDescent="0.25">
      <c r="A27" s="197">
        <v>1436</v>
      </c>
      <c r="B27" s="197" t="s">
        <v>128</v>
      </c>
      <c r="C27" s="197" t="s">
        <v>131</v>
      </c>
      <c r="D27" s="196" t="s">
        <v>130</v>
      </c>
      <c r="E27" s="196"/>
      <c r="F27" s="198">
        <v>1.5</v>
      </c>
      <c r="G27" s="198">
        <v>3</v>
      </c>
      <c r="H27" s="198">
        <v>1.5</v>
      </c>
      <c r="I27" s="198">
        <v>3</v>
      </c>
      <c r="J27" s="198">
        <v>1.5</v>
      </c>
      <c r="K27" s="198">
        <v>3</v>
      </c>
      <c r="L27" s="198">
        <v>1.5</v>
      </c>
      <c r="M27" s="198">
        <v>3</v>
      </c>
      <c r="N27" s="198">
        <v>0</v>
      </c>
      <c r="O27" s="198">
        <v>0</v>
      </c>
      <c r="P27" s="197">
        <v>2023</v>
      </c>
      <c r="Q27" s="197" t="s">
        <v>121</v>
      </c>
      <c r="R27" s="197" t="s">
        <v>130</v>
      </c>
      <c r="S27" s="197" t="s">
        <v>97</v>
      </c>
    </row>
    <row r="28" spans="1:19" x14ac:dyDescent="0.25">
      <c r="A28" s="197">
        <v>1437</v>
      </c>
      <c r="B28" s="197" t="s">
        <v>128</v>
      </c>
      <c r="C28" s="197" t="s">
        <v>132</v>
      </c>
      <c r="D28" s="196" t="s">
        <v>130</v>
      </c>
      <c r="E28" s="196"/>
      <c r="F28" s="198">
        <v>1.5</v>
      </c>
      <c r="G28" s="198">
        <v>3</v>
      </c>
      <c r="H28" s="198">
        <v>1.5</v>
      </c>
      <c r="I28" s="198">
        <v>3</v>
      </c>
      <c r="J28" s="198">
        <v>1.5</v>
      </c>
      <c r="K28" s="198">
        <v>3</v>
      </c>
      <c r="L28" s="198">
        <v>1.5</v>
      </c>
      <c r="M28" s="198">
        <v>3</v>
      </c>
      <c r="N28" s="198">
        <v>0</v>
      </c>
      <c r="O28" s="198">
        <v>0</v>
      </c>
      <c r="P28" s="197">
        <v>2023</v>
      </c>
      <c r="Q28" s="197" t="s">
        <v>121</v>
      </c>
      <c r="R28" s="197" t="s">
        <v>130</v>
      </c>
      <c r="S28" s="197" t="s">
        <v>97</v>
      </c>
    </row>
    <row r="29" spans="1:19" x14ac:dyDescent="0.25">
      <c r="A29" s="197">
        <v>1438</v>
      </c>
      <c r="B29" s="197" t="s">
        <v>128</v>
      </c>
      <c r="C29" s="197" t="s">
        <v>133</v>
      </c>
      <c r="D29" s="196" t="s">
        <v>130</v>
      </c>
      <c r="E29" s="196"/>
      <c r="F29" s="198">
        <v>1.5</v>
      </c>
      <c r="G29" s="198">
        <v>3</v>
      </c>
      <c r="H29" s="198">
        <v>1.5</v>
      </c>
      <c r="I29" s="198">
        <v>3</v>
      </c>
      <c r="J29" s="198">
        <v>1.5</v>
      </c>
      <c r="K29" s="198">
        <v>3</v>
      </c>
      <c r="L29" s="198">
        <v>1.5</v>
      </c>
      <c r="M29" s="198">
        <v>3</v>
      </c>
      <c r="N29" s="198">
        <v>0</v>
      </c>
      <c r="O29" s="198">
        <v>0</v>
      </c>
      <c r="P29" s="197">
        <v>2023</v>
      </c>
      <c r="Q29" s="197" t="s">
        <v>121</v>
      </c>
      <c r="R29" s="197" t="s">
        <v>130</v>
      </c>
      <c r="S29" s="197" t="s">
        <v>97</v>
      </c>
    </row>
    <row r="30" spans="1:19" x14ac:dyDescent="0.25">
      <c r="A30" s="197">
        <v>2086</v>
      </c>
      <c r="B30" s="197" t="s">
        <v>128</v>
      </c>
      <c r="C30" s="197" t="s">
        <v>134</v>
      </c>
      <c r="D30" s="196" t="s">
        <v>130</v>
      </c>
      <c r="E30" s="199" t="s">
        <v>135</v>
      </c>
      <c r="F30" s="198">
        <v>1.5</v>
      </c>
      <c r="G30" s="198">
        <v>4</v>
      </c>
      <c r="H30" s="198">
        <v>1.5</v>
      </c>
      <c r="I30" s="198">
        <v>4</v>
      </c>
      <c r="J30" s="198">
        <v>1.5</v>
      </c>
      <c r="K30" s="198">
        <v>4</v>
      </c>
      <c r="L30" s="198">
        <v>1.5</v>
      </c>
      <c r="M30" s="198">
        <v>4</v>
      </c>
      <c r="N30" s="198">
        <v>0</v>
      </c>
      <c r="O30" s="198">
        <v>0</v>
      </c>
      <c r="P30" s="197">
        <v>2023</v>
      </c>
      <c r="Q30" s="197" t="s">
        <v>121</v>
      </c>
      <c r="R30" s="197" t="s">
        <v>130</v>
      </c>
      <c r="S30" s="197" t="s">
        <v>97</v>
      </c>
    </row>
    <row r="31" spans="1:19" x14ac:dyDescent="0.25">
      <c r="A31" s="197">
        <v>1965</v>
      </c>
      <c r="B31" s="197" t="s">
        <v>128</v>
      </c>
      <c r="C31" s="197" t="s">
        <v>136</v>
      </c>
      <c r="D31" s="196">
        <v>50</v>
      </c>
      <c r="E31" s="196">
        <v>50</v>
      </c>
      <c r="F31" s="198">
        <v>2</v>
      </c>
      <c r="G31" s="198">
        <v>8</v>
      </c>
      <c r="H31" s="198">
        <v>2</v>
      </c>
      <c r="I31" s="198">
        <v>7</v>
      </c>
      <c r="J31" s="198">
        <v>2</v>
      </c>
      <c r="K31" s="198">
        <v>4</v>
      </c>
      <c r="L31" s="198">
        <v>2</v>
      </c>
      <c r="M31" s="198">
        <v>2.5</v>
      </c>
      <c r="N31" s="198">
        <v>0</v>
      </c>
      <c r="O31" s="198">
        <v>0</v>
      </c>
      <c r="P31" s="197">
        <v>2024</v>
      </c>
      <c r="Q31" s="197" t="s">
        <v>95</v>
      </c>
      <c r="R31" s="197" t="s">
        <v>96</v>
      </c>
      <c r="S31" s="197" t="s">
        <v>97</v>
      </c>
    </row>
    <row r="32" spans="1:19" x14ac:dyDescent="0.25">
      <c r="A32" s="197">
        <v>1968</v>
      </c>
      <c r="B32" s="197" t="s">
        <v>128</v>
      </c>
      <c r="C32" s="197" t="s">
        <v>137</v>
      </c>
      <c r="D32" s="196">
        <v>50</v>
      </c>
      <c r="E32" s="196">
        <v>50</v>
      </c>
      <c r="F32" s="198">
        <v>2</v>
      </c>
      <c r="G32" s="198">
        <v>8</v>
      </c>
      <c r="H32" s="198">
        <v>2</v>
      </c>
      <c r="I32" s="198">
        <v>8</v>
      </c>
      <c r="J32" s="198">
        <v>2</v>
      </c>
      <c r="K32" s="198">
        <v>4</v>
      </c>
      <c r="L32" s="198">
        <v>2</v>
      </c>
      <c r="M32" s="198">
        <v>3</v>
      </c>
      <c r="N32" s="198">
        <v>0</v>
      </c>
      <c r="O32" s="198">
        <v>0</v>
      </c>
      <c r="P32" s="197">
        <v>2024</v>
      </c>
      <c r="Q32" s="197" t="s">
        <v>95</v>
      </c>
      <c r="R32" s="197" t="s">
        <v>96</v>
      </c>
      <c r="S32" s="197" t="s">
        <v>97</v>
      </c>
    </row>
    <row r="33" spans="1:20" x14ac:dyDescent="0.25">
      <c r="A33" s="197">
        <v>1972</v>
      </c>
      <c r="B33" s="197" t="s">
        <v>128</v>
      </c>
      <c r="C33" s="197" t="s">
        <v>138</v>
      </c>
      <c r="D33" s="196">
        <v>50</v>
      </c>
      <c r="E33" s="196">
        <v>50</v>
      </c>
      <c r="F33" s="198">
        <v>2</v>
      </c>
      <c r="G33" s="198">
        <v>8</v>
      </c>
      <c r="H33" s="198">
        <v>2</v>
      </c>
      <c r="I33" s="198">
        <v>8</v>
      </c>
      <c r="J33" s="198">
        <v>2</v>
      </c>
      <c r="K33" s="198">
        <v>6</v>
      </c>
      <c r="L33" s="198">
        <v>2</v>
      </c>
      <c r="M33" s="198">
        <v>3</v>
      </c>
      <c r="N33" s="198">
        <v>0</v>
      </c>
      <c r="O33" s="198">
        <v>0</v>
      </c>
      <c r="P33" s="197">
        <v>2024</v>
      </c>
      <c r="Q33" s="197" t="s">
        <v>95</v>
      </c>
      <c r="R33" s="197" t="s">
        <v>96</v>
      </c>
      <c r="S33" s="197" t="s">
        <v>97</v>
      </c>
    </row>
    <row r="34" spans="1:20" x14ac:dyDescent="0.25">
      <c r="A34" s="197">
        <v>1966</v>
      </c>
      <c r="B34" s="197" t="s">
        <v>128</v>
      </c>
      <c r="C34" s="197" t="s">
        <v>139</v>
      </c>
      <c r="D34" s="196">
        <v>50</v>
      </c>
      <c r="E34" s="196">
        <v>50</v>
      </c>
      <c r="F34" s="198">
        <v>2</v>
      </c>
      <c r="G34" s="198">
        <v>8</v>
      </c>
      <c r="H34" s="198">
        <v>2</v>
      </c>
      <c r="I34" s="198">
        <v>5</v>
      </c>
      <c r="J34" s="198">
        <v>2</v>
      </c>
      <c r="K34" s="198">
        <v>3</v>
      </c>
      <c r="L34" s="198">
        <v>2</v>
      </c>
      <c r="M34" s="198">
        <v>3</v>
      </c>
      <c r="N34" s="198">
        <v>0</v>
      </c>
      <c r="O34" s="198">
        <v>0</v>
      </c>
      <c r="P34" s="197">
        <v>2024</v>
      </c>
      <c r="Q34" s="197" t="s">
        <v>95</v>
      </c>
      <c r="R34" s="197" t="s">
        <v>96</v>
      </c>
      <c r="S34" s="197" t="s">
        <v>97</v>
      </c>
    </row>
    <row r="35" spans="1:20" x14ac:dyDescent="0.25">
      <c r="A35" s="197">
        <v>2088</v>
      </c>
      <c r="B35" s="197" t="s">
        <v>128</v>
      </c>
      <c r="C35" s="197" t="s">
        <v>140</v>
      </c>
      <c r="D35" s="196">
        <v>50</v>
      </c>
      <c r="E35" s="196">
        <v>50</v>
      </c>
      <c r="F35" s="198">
        <v>2</v>
      </c>
      <c r="G35" s="198">
        <v>8</v>
      </c>
      <c r="H35" s="198">
        <v>2</v>
      </c>
      <c r="I35" s="198">
        <v>8</v>
      </c>
      <c r="J35" s="198">
        <v>2</v>
      </c>
      <c r="K35" s="198">
        <v>8</v>
      </c>
      <c r="L35" s="198">
        <v>2</v>
      </c>
      <c r="M35" s="198">
        <v>6</v>
      </c>
      <c r="N35" s="198">
        <v>0</v>
      </c>
      <c r="O35" s="198">
        <v>0</v>
      </c>
      <c r="P35" s="197">
        <v>2023</v>
      </c>
      <c r="Q35" s="197" t="s">
        <v>95</v>
      </c>
      <c r="R35" s="197" t="s">
        <v>96</v>
      </c>
      <c r="S35" s="197" t="s">
        <v>97</v>
      </c>
    </row>
    <row r="36" spans="1:20" x14ac:dyDescent="0.25">
      <c r="A36" s="197">
        <v>1801</v>
      </c>
      <c r="B36" s="197" t="s">
        <v>128</v>
      </c>
      <c r="C36" s="197" t="s">
        <v>141</v>
      </c>
      <c r="D36" s="196">
        <v>50</v>
      </c>
      <c r="E36" s="196" t="s">
        <v>94</v>
      </c>
      <c r="F36" s="198">
        <v>1.5</v>
      </c>
      <c r="G36" s="198">
        <v>6</v>
      </c>
      <c r="H36" s="198">
        <v>1.5</v>
      </c>
      <c r="I36" s="198">
        <v>3</v>
      </c>
      <c r="J36" s="198">
        <v>1.5</v>
      </c>
      <c r="K36" s="198">
        <v>2</v>
      </c>
      <c r="L36" s="198">
        <v>1.5</v>
      </c>
      <c r="M36" s="198">
        <v>1.5</v>
      </c>
      <c r="N36" s="198">
        <v>0</v>
      </c>
      <c r="O36" s="198">
        <v>0</v>
      </c>
      <c r="P36" s="197">
        <v>2023</v>
      </c>
      <c r="Q36" s="197" t="s">
        <v>100</v>
      </c>
      <c r="R36" s="197" t="s">
        <v>96</v>
      </c>
      <c r="S36" s="197" t="s">
        <v>97</v>
      </c>
    </row>
    <row r="37" spans="1:20" x14ac:dyDescent="0.25">
      <c r="A37" s="197">
        <v>1663</v>
      </c>
      <c r="B37" s="197" t="s">
        <v>128</v>
      </c>
      <c r="C37" s="197" t="s">
        <v>142</v>
      </c>
      <c r="D37" s="196">
        <v>50</v>
      </c>
      <c r="E37" s="196" t="s">
        <v>94</v>
      </c>
      <c r="F37" s="198">
        <v>1</v>
      </c>
      <c r="G37" s="198">
        <v>6</v>
      </c>
      <c r="H37" s="198">
        <v>1</v>
      </c>
      <c r="I37" s="198">
        <v>4</v>
      </c>
      <c r="J37" s="198">
        <v>1</v>
      </c>
      <c r="K37" s="198">
        <v>1.5</v>
      </c>
      <c r="L37" s="198">
        <v>1</v>
      </c>
      <c r="M37" s="198">
        <v>1</v>
      </c>
      <c r="N37" s="198">
        <v>0</v>
      </c>
      <c r="O37" s="198">
        <v>0</v>
      </c>
      <c r="P37" s="197">
        <v>2023</v>
      </c>
      <c r="Q37" s="197" t="s">
        <v>100</v>
      </c>
      <c r="R37" s="197" t="s">
        <v>96</v>
      </c>
      <c r="S37" s="197" t="s">
        <v>97</v>
      </c>
    </row>
    <row r="38" spans="1:20" x14ac:dyDescent="0.25">
      <c r="A38" s="197">
        <v>1936</v>
      </c>
      <c r="B38" s="197" t="s">
        <v>128</v>
      </c>
      <c r="C38" s="197" t="s">
        <v>143</v>
      </c>
      <c r="D38" s="196">
        <v>50</v>
      </c>
      <c r="E38" s="196">
        <v>50</v>
      </c>
      <c r="F38" s="198">
        <v>1</v>
      </c>
      <c r="G38" s="198">
        <v>6</v>
      </c>
      <c r="H38" s="198">
        <v>1</v>
      </c>
      <c r="I38" s="198">
        <v>6</v>
      </c>
      <c r="J38" s="198">
        <v>1</v>
      </c>
      <c r="K38" s="198">
        <v>3</v>
      </c>
      <c r="L38" s="198">
        <v>1</v>
      </c>
      <c r="M38" s="198">
        <v>1</v>
      </c>
      <c r="N38" s="198">
        <v>0</v>
      </c>
      <c r="O38" s="198">
        <v>0</v>
      </c>
      <c r="P38" s="197">
        <v>2023</v>
      </c>
      <c r="Q38" s="197" t="s">
        <v>100</v>
      </c>
      <c r="R38" s="197" t="s">
        <v>96</v>
      </c>
      <c r="S38" s="197" t="s">
        <v>97</v>
      </c>
    </row>
    <row r="39" spans="1:20" x14ac:dyDescent="0.25">
      <c r="A39" s="197">
        <v>2053</v>
      </c>
      <c r="B39" s="197" t="s">
        <v>128</v>
      </c>
      <c r="C39" s="197" t="s">
        <v>144</v>
      </c>
      <c r="D39" s="196">
        <v>25</v>
      </c>
      <c r="E39" s="196">
        <v>40</v>
      </c>
      <c r="F39" s="198">
        <v>1.5</v>
      </c>
      <c r="G39" s="198">
        <v>8</v>
      </c>
      <c r="H39" s="198">
        <v>1.5</v>
      </c>
      <c r="I39" s="198">
        <v>3</v>
      </c>
      <c r="J39" s="198">
        <v>1.5</v>
      </c>
      <c r="K39" s="198">
        <v>3</v>
      </c>
      <c r="L39" s="198">
        <v>1.5</v>
      </c>
      <c r="M39" s="198">
        <v>2</v>
      </c>
      <c r="N39" s="198">
        <v>1.5</v>
      </c>
      <c r="O39" s="198">
        <v>1.6</v>
      </c>
      <c r="P39" s="197">
        <v>2022</v>
      </c>
      <c r="Q39" s="197" t="s">
        <v>100</v>
      </c>
      <c r="R39" s="197" t="s">
        <v>96</v>
      </c>
      <c r="S39" s="197" t="s">
        <v>97</v>
      </c>
    </row>
    <row r="40" spans="1:20" x14ac:dyDescent="0.25">
      <c r="A40" s="197">
        <v>2052</v>
      </c>
      <c r="B40" s="197" t="s">
        <v>128</v>
      </c>
      <c r="C40" s="197" t="s">
        <v>145</v>
      </c>
      <c r="D40" s="196">
        <v>25</v>
      </c>
      <c r="E40" s="196">
        <v>40</v>
      </c>
      <c r="F40" s="198">
        <v>1.5</v>
      </c>
      <c r="G40" s="198">
        <v>8</v>
      </c>
      <c r="H40" s="198">
        <v>1.5</v>
      </c>
      <c r="I40" s="198">
        <v>3</v>
      </c>
      <c r="J40" s="198">
        <v>1.5</v>
      </c>
      <c r="K40" s="198">
        <v>3</v>
      </c>
      <c r="L40" s="198">
        <v>1.5</v>
      </c>
      <c r="M40" s="198">
        <v>3</v>
      </c>
      <c r="N40" s="198">
        <v>1.5</v>
      </c>
      <c r="O40" s="198">
        <v>1.6</v>
      </c>
      <c r="P40" s="197">
        <v>2022</v>
      </c>
      <c r="Q40" s="197" t="s">
        <v>100</v>
      </c>
      <c r="R40" s="197" t="s">
        <v>96</v>
      </c>
      <c r="S40" s="197" t="s">
        <v>97</v>
      </c>
    </row>
    <row r="41" spans="1:20" x14ac:dyDescent="0.25">
      <c r="A41" s="197">
        <v>2300</v>
      </c>
      <c r="B41" s="197" t="s">
        <v>128</v>
      </c>
      <c r="C41" s="197" t="s">
        <v>146</v>
      </c>
      <c r="D41" s="196">
        <v>25</v>
      </c>
      <c r="E41" s="196">
        <v>40</v>
      </c>
      <c r="F41" s="198">
        <v>1.5</v>
      </c>
      <c r="G41" s="198">
        <v>8</v>
      </c>
      <c r="H41" s="198">
        <v>1.5</v>
      </c>
      <c r="I41" s="198">
        <v>2</v>
      </c>
      <c r="J41" s="198">
        <v>1.5</v>
      </c>
      <c r="K41" s="198">
        <v>2</v>
      </c>
      <c r="L41" s="198">
        <v>1.5</v>
      </c>
      <c r="M41" s="198">
        <v>2</v>
      </c>
      <c r="N41" s="198">
        <v>1.5</v>
      </c>
      <c r="O41" s="198">
        <v>2</v>
      </c>
      <c r="P41" s="197">
        <v>2027</v>
      </c>
      <c r="Q41" s="197" t="s">
        <v>100</v>
      </c>
      <c r="R41" s="197" t="s">
        <v>96</v>
      </c>
      <c r="S41" s="197" t="s">
        <v>97</v>
      </c>
    </row>
    <row r="42" spans="1:20" x14ac:dyDescent="0.25">
      <c r="A42" s="197">
        <v>2311</v>
      </c>
      <c r="B42" s="197" t="s">
        <v>128</v>
      </c>
      <c r="C42" s="197" t="s">
        <v>147</v>
      </c>
      <c r="D42" s="196">
        <v>25</v>
      </c>
      <c r="E42" s="196">
        <v>40</v>
      </c>
      <c r="F42" s="198">
        <v>1.5</v>
      </c>
      <c r="G42" s="198">
        <v>8</v>
      </c>
      <c r="H42" s="198">
        <v>1.5</v>
      </c>
      <c r="I42" s="198">
        <v>8</v>
      </c>
      <c r="J42" s="198">
        <v>1.5</v>
      </c>
      <c r="K42" s="198">
        <v>8</v>
      </c>
      <c r="L42" s="198">
        <v>1.5</v>
      </c>
      <c r="M42" s="198">
        <v>8</v>
      </c>
      <c r="N42" s="198">
        <v>1.5</v>
      </c>
      <c r="O42" s="198">
        <v>8</v>
      </c>
      <c r="P42" s="197">
        <v>2028</v>
      </c>
      <c r="Q42" s="197" t="s">
        <v>100</v>
      </c>
      <c r="R42" s="197" t="s">
        <v>96</v>
      </c>
      <c r="S42" s="197" t="s">
        <v>97</v>
      </c>
    </row>
    <row r="43" spans="1:20" x14ac:dyDescent="0.25">
      <c r="A43" s="197">
        <v>1799</v>
      </c>
      <c r="B43" s="197" t="s">
        <v>128</v>
      </c>
      <c r="C43" s="197" t="s">
        <v>148</v>
      </c>
      <c r="D43" s="196">
        <v>50</v>
      </c>
      <c r="E43" s="196" t="s">
        <v>94</v>
      </c>
      <c r="F43" s="198">
        <v>1</v>
      </c>
      <c r="G43" s="198">
        <v>6</v>
      </c>
      <c r="H43" s="198">
        <v>1</v>
      </c>
      <c r="I43" s="198">
        <v>3</v>
      </c>
      <c r="J43" s="198">
        <v>1</v>
      </c>
      <c r="K43" s="198">
        <v>1.5</v>
      </c>
      <c r="L43" s="198">
        <v>1</v>
      </c>
      <c r="M43" s="198">
        <v>1</v>
      </c>
      <c r="N43" s="198">
        <v>0</v>
      </c>
      <c r="O43" s="198">
        <v>0</v>
      </c>
      <c r="P43" s="197">
        <v>2023</v>
      </c>
      <c r="Q43" s="197" t="s">
        <v>100</v>
      </c>
      <c r="R43" s="197" t="s">
        <v>96</v>
      </c>
      <c r="S43" s="197" t="s">
        <v>97</v>
      </c>
    </row>
    <row r="44" spans="1:20" x14ac:dyDescent="0.25">
      <c r="A44" s="197">
        <v>1718</v>
      </c>
      <c r="B44" s="197" t="s">
        <v>128</v>
      </c>
      <c r="C44" s="197" t="s">
        <v>149</v>
      </c>
      <c r="D44" s="196">
        <v>50</v>
      </c>
      <c r="E44" s="196" t="s">
        <v>94</v>
      </c>
      <c r="F44" s="198">
        <v>1</v>
      </c>
      <c r="G44" s="198">
        <v>6</v>
      </c>
      <c r="H44" s="198">
        <v>1</v>
      </c>
      <c r="I44" s="198">
        <v>3</v>
      </c>
      <c r="J44" s="198">
        <v>1</v>
      </c>
      <c r="K44" s="198">
        <v>1.5</v>
      </c>
      <c r="L44" s="198">
        <v>1</v>
      </c>
      <c r="M44" s="198">
        <v>1</v>
      </c>
      <c r="N44" s="198">
        <v>0</v>
      </c>
      <c r="O44" s="198">
        <v>0</v>
      </c>
      <c r="P44" s="197">
        <v>2027</v>
      </c>
      <c r="Q44" s="197" t="s">
        <v>100</v>
      </c>
      <c r="R44" s="197" t="s">
        <v>96</v>
      </c>
      <c r="S44" s="197" t="s">
        <v>97</v>
      </c>
    </row>
    <row r="45" spans="1:20" x14ac:dyDescent="0.25">
      <c r="A45" s="197">
        <v>1787</v>
      </c>
      <c r="B45" s="197" t="s">
        <v>128</v>
      </c>
      <c r="C45" s="197" t="s">
        <v>150</v>
      </c>
      <c r="D45" s="196">
        <v>50</v>
      </c>
      <c r="E45" s="196" t="s">
        <v>94</v>
      </c>
      <c r="F45" s="198">
        <v>1</v>
      </c>
      <c r="G45" s="198">
        <v>6</v>
      </c>
      <c r="H45" s="198">
        <v>1</v>
      </c>
      <c r="I45" s="198">
        <v>3</v>
      </c>
      <c r="J45" s="198">
        <v>1</v>
      </c>
      <c r="K45" s="198">
        <v>1.5</v>
      </c>
      <c r="L45" s="198">
        <v>1</v>
      </c>
      <c r="M45" s="198">
        <v>1</v>
      </c>
      <c r="N45" s="198">
        <v>0</v>
      </c>
      <c r="O45" s="198">
        <v>0</v>
      </c>
      <c r="P45" s="197">
        <v>2027</v>
      </c>
      <c r="Q45" s="197" t="s">
        <v>100</v>
      </c>
      <c r="R45" s="197" t="s">
        <v>96</v>
      </c>
      <c r="S45" s="197" t="s">
        <v>102</v>
      </c>
      <c r="T45" s="197" t="s">
        <v>148</v>
      </c>
    </row>
    <row r="46" spans="1:20" x14ac:dyDescent="0.25">
      <c r="A46" s="197">
        <v>1787</v>
      </c>
      <c r="B46" s="197" t="s">
        <v>128</v>
      </c>
      <c r="C46" s="197" t="s">
        <v>150</v>
      </c>
      <c r="D46" s="196">
        <v>50</v>
      </c>
      <c r="E46" s="196">
        <v>50</v>
      </c>
      <c r="F46" s="198">
        <v>1</v>
      </c>
      <c r="G46" s="198">
        <v>6</v>
      </c>
      <c r="H46" s="198">
        <v>1</v>
      </c>
      <c r="I46" s="198">
        <v>4</v>
      </c>
      <c r="J46" s="198">
        <v>1</v>
      </c>
      <c r="K46" s="198">
        <v>2</v>
      </c>
      <c r="L46" s="198">
        <v>1</v>
      </c>
      <c r="M46" s="198">
        <v>1.5</v>
      </c>
      <c r="N46" s="198">
        <v>0</v>
      </c>
      <c r="O46" s="198">
        <v>0</v>
      </c>
      <c r="P46" s="197">
        <v>2027</v>
      </c>
      <c r="Q46" s="197" t="s">
        <v>100</v>
      </c>
      <c r="R46" s="197" t="s">
        <v>96</v>
      </c>
      <c r="S46" s="197" t="s">
        <v>102</v>
      </c>
      <c r="T46" s="197" t="s">
        <v>151</v>
      </c>
    </row>
    <row r="47" spans="1:20" x14ac:dyDescent="0.25">
      <c r="A47" s="197">
        <v>1788</v>
      </c>
      <c r="B47" s="197" t="s">
        <v>128</v>
      </c>
      <c r="C47" s="197" t="s">
        <v>152</v>
      </c>
      <c r="D47" s="196">
        <v>50</v>
      </c>
      <c r="E47" s="196">
        <v>50</v>
      </c>
      <c r="F47" s="198">
        <v>1</v>
      </c>
      <c r="G47" s="198">
        <v>6</v>
      </c>
      <c r="H47" s="198">
        <v>1</v>
      </c>
      <c r="I47" s="198">
        <v>3</v>
      </c>
      <c r="J47" s="198">
        <v>1</v>
      </c>
      <c r="K47" s="198">
        <v>1.5</v>
      </c>
      <c r="L47" s="198">
        <v>1</v>
      </c>
      <c r="M47" s="198">
        <v>1</v>
      </c>
      <c r="N47" s="198">
        <v>0</v>
      </c>
      <c r="O47" s="198">
        <v>0</v>
      </c>
      <c r="P47" s="197">
        <v>2027</v>
      </c>
      <c r="Q47" s="197" t="s">
        <v>100</v>
      </c>
      <c r="R47" s="197" t="s">
        <v>96</v>
      </c>
      <c r="S47" s="197" t="s">
        <v>102</v>
      </c>
      <c r="T47" s="197" t="s">
        <v>149</v>
      </c>
    </row>
    <row r="48" spans="1:20" x14ac:dyDescent="0.25">
      <c r="A48" s="197">
        <v>1788</v>
      </c>
      <c r="B48" s="197" t="s">
        <v>128</v>
      </c>
      <c r="C48" s="197" t="s">
        <v>152</v>
      </c>
      <c r="D48" s="196">
        <v>50</v>
      </c>
      <c r="E48" s="196">
        <v>50</v>
      </c>
      <c r="F48" s="198">
        <v>1</v>
      </c>
      <c r="G48" s="198">
        <v>6</v>
      </c>
      <c r="H48" s="198">
        <v>1</v>
      </c>
      <c r="I48" s="198">
        <v>2</v>
      </c>
      <c r="J48" s="198">
        <v>1</v>
      </c>
      <c r="K48" s="198">
        <v>1.5</v>
      </c>
      <c r="L48" s="198">
        <v>1</v>
      </c>
      <c r="M48" s="198">
        <v>1</v>
      </c>
      <c r="N48" s="198">
        <v>0</v>
      </c>
      <c r="O48" s="198">
        <v>0</v>
      </c>
      <c r="P48" s="197">
        <v>2027</v>
      </c>
      <c r="Q48" s="197" t="s">
        <v>100</v>
      </c>
      <c r="R48" s="197" t="s">
        <v>96</v>
      </c>
      <c r="S48" s="197" t="s">
        <v>102</v>
      </c>
      <c r="T48" s="197" t="s">
        <v>153</v>
      </c>
    </row>
    <row r="49" spans="1:23" x14ac:dyDescent="0.25">
      <c r="A49" s="197">
        <v>1789</v>
      </c>
      <c r="B49" s="197" t="s">
        <v>128</v>
      </c>
      <c r="C49" s="197" t="s">
        <v>154</v>
      </c>
      <c r="D49" s="196">
        <v>50</v>
      </c>
      <c r="E49" s="196">
        <v>50</v>
      </c>
      <c r="F49" s="198">
        <v>1</v>
      </c>
      <c r="G49" s="198">
        <v>6</v>
      </c>
      <c r="H49" s="198">
        <v>1</v>
      </c>
      <c r="I49" s="198">
        <v>4</v>
      </c>
      <c r="J49" s="198">
        <v>1</v>
      </c>
      <c r="K49" s="198">
        <v>1.5</v>
      </c>
      <c r="L49" s="198">
        <v>1</v>
      </c>
      <c r="M49" s="198">
        <v>1</v>
      </c>
      <c r="N49" s="198">
        <v>0</v>
      </c>
      <c r="O49" s="198">
        <v>0</v>
      </c>
      <c r="P49" s="197">
        <v>2027</v>
      </c>
      <c r="Q49" s="197" t="s">
        <v>100</v>
      </c>
      <c r="R49" s="197" t="s">
        <v>96</v>
      </c>
      <c r="S49" s="197" t="s">
        <v>102</v>
      </c>
      <c r="T49" s="197" t="s">
        <v>142</v>
      </c>
      <c r="V49" s="197">
        <v>1</v>
      </c>
      <c r="W49" s="197">
        <v>3</v>
      </c>
    </row>
    <row r="50" spans="1:23" x14ac:dyDescent="0.25">
      <c r="A50" s="197">
        <v>1789</v>
      </c>
      <c r="B50" s="197" t="s">
        <v>128</v>
      </c>
      <c r="C50" s="197" t="s">
        <v>154</v>
      </c>
      <c r="D50" s="196">
        <v>50</v>
      </c>
      <c r="E50" s="196">
        <v>50</v>
      </c>
      <c r="F50" s="198">
        <v>1</v>
      </c>
      <c r="G50" s="198">
        <v>6</v>
      </c>
      <c r="H50" s="198">
        <v>1</v>
      </c>
      <c r="I50" s="198">
        <v>3</v>
      </c>
      <c r="J50" s="198">
        <v>1</v>
      </c>
      <c r="K50" s="198">
        <v>1.5</v>
      </c>
      <c r="L50" s="198">
        <v>1</v>
      </c>
      <c r="M50" s="198">
        <v>1</v>
      </c>
      <c r="N50" s="198">
        <v>0</v>
      </c>
      <c r="O50" s="198">
        <v>0</v>
      </c>
      <c r="P50" s="197">
        <v>2027</v>
      </c>
      <c r="Q50" s="197" t="s">
        <v>100</v>
      </c>
      <c r="R50" s="197" t="s">
        <v>96</v>
      </c>
      <c r="S50" s="197" t="s">
        <v>102</v>
      </c>
      <c r="T50" s="197" t="s">
        <v>155</v>
      </c>
    </row>
    <row r="51" spans="1:23" x14ac:dyDescent="0.25">
      <c r="A51" s="197">
        <v>1998</v>
      </c>
      <c r="B51" s="197" t="s">
        <v>128</v>
      </c>
      <c r="C51" s="197" t="s">
        <v>156</v>
      </c>
      <c r="D51" s="196">
        <v>50</v>
      </c>
      <c r="E51" s="196">
        <v>50</v>
      </c>
      <c r="F51" s="198">
        <v>1</v>
      </c>
      <c r="G51" s="198">
        <v>6</v>
      </c>
      <c r="H51" s="198">
        <v>1</v>
      </c>
      <c r="I51" s="198">
        <v>6</v>
      </c>
      <c r="J51" s="198">
        <v>1</v>
      </c>
      <c r="K51" s="198">
        <v>3</v>
      </c>
      <c r="L51" s="198">
        <v>1</v>
      </c>
      <c r="M51" s="198">
        <v>1</v>
      </c>
      <c r="N51" s="198">
        <v>0</v>
      </c>
      <c r="O51" s="198">
        <v>0</v>
      </c>
      <c r="P51" s="197">
        <v>2025</v>
      </c>
      <c r="Q51" s="197" t="s">
        <v>100</v>
      </c>
      <c r="R51" s="197" t="s">
        <v>96</v>
      </c>
      <c r="S51" s="197" t="s">
        <v>102</v>
      </c>
      <c r="T51" s="197" t="s">
        <v>143</v>
      </c>
    </row>
    <row r="52" spans="1:23" x14ac:dyDescent="0.25">
      <c r="A52" s="197">
        <v>1998</v>
      </c>
      <c r="B52" s="197" t="s">
        <v>128</v>
      </c>
      <c r="C52" s="197" t="s">
        <v>156</v>
      </c>
      <c r="D52" s="196">
        <v>50</v>
      </c>
      <c r="E52" s="196">
        <v>50</v>
      </c>
      <c r="F52" s="198">
        <v>1</v>
      </c>
      <c r="G52" s="198">
        <v>6</v>
      </c>
      <c r="H52" s="198">
        <v>1</v>
      </c>
      <c r="I52" s="198">
        <v>6</v>
      </c>
      <c r="J52" s="198">
        <v>1</v>
      </c>
      <c r="K52" s="198">
        <v>2</v>
      </c>
      <c r="L52" s="198">
        <v>1</v>
      </c>
      <c r="M52" s="198">
        <v>1</v>
      </c>
      <c r="N52" s="198">
        <v>0</v>
      </c>
      <c r="O52" s="198">
        <v>0</v>
      </c>
      <c r="P52" s="197">
        <v>2025</v>
      </c>
      <c r="Q52" s="197" t="s">
        <v>100</v>
      </c>
      <c r="R52" s="197" t="s">
        <v>96</v>
      </c>
      <c r="S52" s="197" t="s">
        <v>102</v>
      </c>
      <c r="T52" s="197" t="s">
        <v>157</v>
      </c>
    </row>
    <row r="53" spans="1:23" x14ac:dyDescent="0.25">
      <c r="A53" s="197">
        <v>1911</v>
      </c>
      <c r="B53" s="197" t="s">
        <v>128</v>
      </c>
      <c r="C53" s="197" t="s">
        <v>158</v>
      </c>
      <c r="D53" s="196">
        <v>50</v>
      </c>
      <c r="E53" s="196">
        <v>50</v>
      </c>
      <c r="F53" s="198">
        <v>1.5</v>
      </c>
      <c r="G53" s="198">
        <v>6</v>
      </c>
      <c r="H53" s="198">
        <v>1.5</v>
      </c>
      <c r="I53" s="198">
        <v>5</v>
      </c>
      <c r="J53" s="198">
        <v>1.5</v>
      </c>
      <c r="K53" s="198">
        <v>3</v>
      </c>
      <c r="L53" s="198">
        <v>1.5</v>
      </c>
      <c r="M53" s="198">
        <v>1.5</v>
      </c>
      <c r="N53" s="198">
        <v>0</v>
      </c>
      <c r="O53" s="198">
        <v>0</v>
      </c>
      <c r="P53" s="197">
        <v>2027</v>
      </c>
      <c r="Q53" s="197" t="s">
        <v>100</v>
      </c>
      <c r="R53" s="197" t="s">
        <v>96</v>
      </c>
      <c r="S53" s="197" t="s">
        <v>113</v>
      </c>
    </row>
    <row r="54" spans="1:23" x14ac:dyDescent="0.25">
      <c r="A54" s="197">
        <v>1912</v>
      </c>
      <c r="B54" s="197" t="s">
        <v>128</v>
      </c>
      <c r="C54" s="197" t="s">
        <v>159</v>
      </c>
      <c r="D54" s="196">
        <v>50</v>
      </c>
      <c r="E54" s="196">
        <v>50</v>
      </c>
      <c r="F54" s="198">
        <v>1.5</v>
      </c>
      <c r="G54" s="198">
        <v>6</v>
      </c>
      <c r="H54" s="198">
        <v>1.5</v>
      </c>
      <c r="I54" s="198">
        <v>3</v>
      </c>
      <c r="J54" s="198">
        <v>1.5</v>
      </c>
      <c r="K54" s="198">
        <v>2</v>
      </c>
      <c r="L54" s="198">
        <v>1.5</v>
      </c>
      <c r="M54" s="198">
        <v>1.5</v>
      </c>
      <c r="N54" s="198">
        <v>0</v>
      </c>
      <c r="O54" s="198">
        <v>0</v>
      </c>
      <c r="P54" s="197">
        <v>2027</v>
      </c>
      <c r="Q54" s="197" t="s">
        <v>100</v>
      </c>
      <c r="R54" s="197" t="s">
        <v>96</v>
      </c>
      <c r="S54" s="197" t="s">
        <v>113</v>
      </c>
    </row>
    <row r="55" spans="1:23" x14ac:dyDescent="0.25">
      <c r="A55" s="197">
        <v>1882</v>
      </c>
      <c r="B55" s="197" t="s">
        <v>128</v>
      </c>
      <c r="C55" s="197" t="s">
        <v>151</v>
      </c>
      <c r="D55" s="196">
        <v>50</v>
      </c>
      <c r="E55" s="196">
        <v>50</v>
      </c>
      <c r="F55" s="198">
        <v>1</v>
      </c>
      <c r="G55" s="198">
        <v>6</v>
      </c>
      <c r="H55" s="198">
        <v>1</v>
      </c>
      <c r="I55" s="198">
        <v>4</v>
      </c>
      <c r="J55" s="198">
        <v>1</v>
      </c>
      <c r="K55" s="198">
        <v>2</v>
      </c>
      <c r="L55" s="198">
        <v>1</v>
      </c>
      <c r="M55" s="198">
        <v>1.5</v>
      </c>
      <c r="N55" s="198">
        <v>0</v>
      </c>
      <c r="O55" s="198">
        <v>0</v>
      </c>
      <c r="P55" s="197">
        <v>2021</v>
      </c>
      <c r="Q55" s="197" t="s">
        <v>100</v>
      </c>
      <c r="R55" s="197" t="s">
        <v>96</v>
      </c>
      <c r="S55" s="197" t="s">
        <v>113</v>
      </c>
    </row>
    <row r="56" spans="1:23" x14ac:dyDescent="0.25">
      <c r="A56" s="197">
        <v>1883</v>
      </c>
      <c r="B56" s="197" t="s">
        <v>128</v>
      </c>
      <c r="C56" s="197" t="s">
        <v>153</v>
      </c>
      <c r="D56" s="196">
        <v>50</v>
      </c>
      <c r="E56" s="196">
        <v>50</v>
      </c>
      <c r="F56" s="198">
        <v>1</v>
      </c>
      <c r="G56" s="198">
        <v>6</v>
      </c>
      <c r="H56" s="198">
        <v>1</v>
      </c>
      <c r="I56" s="198">
        <v>2</v>
      </c>
      <c r="J56" s="198">
        <v>1</v>
      </c>
      <c r="K56" s="198">
        <v>1.5</v>
      </c>
      <c r="L56" s="198">
        <v>1</v>
      </c>
      <c r="M56" s="198">
        <v>1</v>
      </c>
      <c r="N56" s="198">
        <v>0</v>
      </c>
      <c r="O56" s="198">
        <v>0</v>
      </c>
      <c r="P56" s="197">
        <v>2026</v>
      </c>
      <c r="Q56" s="197" t="s">
        <v>100</v>
      </c>
      <c r="R56" s="197" t="s">
        <v>96</v>
      </c>
      <c r="S56" s="197" t="s">
        <v>113</v>
      </c>
    </row>
    <row r="57" spans="1:23" x14ac:dyDescent="0.25">
      <c r="A57" s="197">
        <v>1837</v>
      </c>
      <c r="B57" s="197" t="s">
        <v>128</v>
      </c>
      <c r="C57" s="197" t="s">
        <v>160</v>
      </c>
      <c r="D57" s="196">
        <v>50</v>
      </c>
      <c r="E57" s="196">
        <v>50</v>
      </c>
      <c r="F57" s="198">
        <v>1</v>
      </c>
      <c r="G57" s="198">
        <v>6</v>
      </c>
      <c r="H57" s="198">
        <v>1</v>
      </c>
      <c r="I57" s="198">
        <v>3</v>
      </c>
      <c r="J57" s="198">
        <v>1</v>
      </c>
      <c r="K57" s="198">
        <v>1.5</v>
      </c>
      <c r="L57" s="198">
        <v>1</v>
      </c>
      <c r="M57" s="198">
        <v>1</v>
      </c>
      <c r="N57" s="198">
        <v>0</v>
      </c>
      <c r="O57" s="198">
        <v>0</v>
      </c>
      <c r="P57" s="197">
        <v>2024</v>
      </c>
      <c r="Q57" s="197" t="s">
        <v>100</v>
      </c>
      <c r="R57" s="197" t="s">
        <v>96</v>
      </c>
      <c r="S57" s="197" t="s">
        <v>113</v>
      </c>
    </row>
    <row r="58" spans="1:23" x14ac:dyDescent="0.25">
      <c r="A58" s="197">
        <v>1884</v>
      </c>
      <c r="B58" s="197" t="s">
        <v>128</v>
      </c>
      <c r="C58" s="197" t="s">
        <v>155</v>
      </c>
      <c r="D58" s="196">
        <v>50</v>
      </c>
      <c r="E58" s="196">
        <v>50</v>
      </c>
      <c r="F58" s="198">
        <v>1</v>
      </c>
      <c r="G58" s="198">
        <v>6</v>
      </c>
      <c r="H58" s="198">
        <v>1</v>
      </c>
      <c r="I58" s="198">
        <v>3</v>
      </c>
      <c r="J58" s="198">
        <v>1</v>
      </c>
      <c r="K58" s="198">
        <v>1.5</v>
      </c>
      <c r="L58" s="198">
        <v>1</v>
      </c>
      <c r="M58" s="198">
        <v>1</v>
      </c>
      <c r="N58" s="198">
        <v>0</v>
      </c>
      <c r="O58" s="198">
        <v>0</v>
      </c>
      <c r="P58" s="197">
        <v>2026</v>
      </c>
      <c r="Q58" s="197" t="s">
        <v>100</v>
      </c>
      <c r="R58" s="197" t="s">
        <v>96</v>
      </c>
      <c r="S58" s="197" t="s">
        <v>113</v>
      </c>
    </row>
    <row r="59" spans="1:23" x14ac:dyDescent="0.25">
      <c r="A59" s="197">
        <v>1836</v>
      </c>
      <c r="B59" s="197" t="s">
        <v>128</v>
      </c>
      <c r="C59" s="197" t="s">
        <v>161</v>
      </c>
      <c r="D59" s="196">
        <v>50</v>
      </c>
      <c r="E59" s="196">
        <v>50</v>
      </c>
      <c r="F59" s="198">
        <v>1</v>
      </c>
      <c r="G59" s="198">
        <v>6</v>
      </c>
      <c r="H59" s="198">
        <v>1</v>
      </c>
      <c r="I59" s="198">
        <v>4</v>
      </c>
      <c r="J59" s="198">
        <v>1</v>
      </c>
      <c r="K59" s="198">
        <v>1.5</v>
      </c>
      <c r="L59" s="198">
        <v>1</v>
      </c>
      <c r="M59" s="198">
        <v>1</v>
      </c>
      <c r="N59" s="198">
        <v>0</v>
      </c>
      <c r="O59" s="198">
        <v>0</v>
      </c>
      <c r="P59" s="197">
        <v>2024</v>
      </c>
      <c r="Q59" s="197" t="s">
        <v>100</v>
      </c>
      <c r="R59" s="197" t="s">
        <v>96</v>
      </c>
      <c r="S59" s="197" t="s">
        <v>113</v>
      </c>
    </row>
    <row r="60" spans="1:23" x14ac:dyDescent="0.25">
      <c r="A60" s="197">
        <v>1935</v>
      </c>
      <c r="B60" s="197" t="s">
        <v>128</v>
      </c>
      <c r="C60" s="197" t="s">
        <v>157</v>
      </c>
      <c r="D60" s="196">
        <v>50</v>
      </c>
      <c r="E60" s="196">
        <v>50</v>
      </c>
      <c r="F60" s="198">
        <v>1</v>
      </c>
      <c r="G60" s="198">
        <v>6</v>
      </c>
      <c r="H60" s="198">
        <v>1</v>
      </c>
      <c r="I60" s="198">
        <v>6</v>
      </c>
      <c r="J60" s="198">
        <v>1</v>
      </c>
      <c r="K60" s="198">
        <v>2</v>
      </c>
      <c r="L60" s="198">
        <v>1</v>
      </c>
      <c r="M60" s="198">
        <v>1</v>
      </c>
      <c r="N60" s="198">
        <v>0</v>
      </c>
      <c r="O60" s="198">
        <v>0</v>
      </c>
      <c r="P60" s="197">
        <v>2023</v>
      </c>
      <c r="Q60" s="197" t="s">
        <v>100</v>
      </c>
      <c r="R60" s="197" t="s">
        <v>96</v>
      </c>
      <c r="S60" s="197" t="s">
        <v>113</v>
      </c>
    </row>
    <row r="61" spans="1:23" x14ac:dyDescent="0.25">
      <c r="A61" s="197">
        <v>2015</v>
      </c>
      <c r="B61" s="197" t="s">
        <v>128</v>
      </c>
      <c r="C61" s="197" t="s">
        <v>162</v>
      </c>
      <c r="D61" s="196">
        <v>50</v>
      </c>
      <c r="E61" s="196">
        <v>50</v>
      </c>
      <c r="F61" s="198">
        <v>1.5</v>
      </c>
      <c r="G61" s="198">
        <v>8</v>
      </c>
      <c r="H61" s="200"/>
      <c r="I61" s="200"/>
      <c r="J61" s="200"/>
      <c r="K61" s="200"/>
      <c r="L61" s="198">
        <v>1.5</v>
      </c>
      <c r="M61" s="198">
        <v>2</v>
      </c>
      <c r="N61" s="198">
        <v>0</v>
      </c>
      <c r="O61" s="198">
        <v>0</v>
      </c>
      <c r="P61" s="197">
        <v>2026</v>
      </c>
      <c r="Q61" s="197" t="s">
        <v>95</v>
      </c>
      <c r="R61" s="197" t="s">
        <v>96</v>
      </c>
      <c r="S61" s="197" t="s">
        <v>113</v>
      </c>
    </row>
    <row r="62" spans="1:23" x14ac:dyDescent="0.25">
      <c r="A62" s="197">
        <v>2019</v>
      </c>
      <c r="B62" s="197" t="s">
        <v>128</v>
      </c>
      <c r="C62" s="197" t="s">
        <v>162</v>
      </c>
      <c r="D62" s="196">
        <v>50</v>
      </c>
      <c r="E62" s="196">
        <v>50</v>
      </c>
      <c r="F62" s="198">
        <v>1.5</v>
      </c>
      <c r="G62" s="198">
        <v>8</v>
      </c>
      <c r="H62" s="200"/>
      <c r="I62" s="200"/>
      <c r="J62" s="200"/>
      <c r="K62" s="200"/>
      <c r="L62" s="198">
        <v>1.5</v>
      </c>
      <c r="M62" s="198">
        <v>2</v>
      </c>
      <c r="N62" s="198">
        <v>0</v>
      </c>
      <c r="O62" s="198">
        <v>0</v>
      </c>
      <c r="P62" s="197">
        <v>2026</v>
      </c>
      <c r="Q62" s="197" t="s">
        <v>95</v>
      </c>
      <c r="R62" s="197" t="s">
        <v>96</v>
      </c>
      <c r="S62" s="197" t="s">
        <v>163</v>
      </c>
      <c r="T62" s="197" t="s">
        <v>136</v>
      </c>
    </row>
    <row r="63" spans="1:23" x14ac:dyDescent="0.25">
      <c r="A63" s="197">
        <v>2016</v>
      </c>
      <c r="B63" s="197" t="s">
        <v>128</v>
      </c>
      <c r="C63" s="197" t="s">
        <v>164</v>
      </c>
      <c r="D63" s="196">
        <v>50</v>
      </c>
      <c r="E63" s="196">
        <v>50</v>
      </c>
      <c r="F63" s="198">
        <v>1.5</v>
      </c>
      <c r="G63" s="198">
        <v>8</v>
      </c>
      <c r="H63" s="200"/>
      <c r="I63" s="200"/>
      <c r="J63" s="200"/>
      <c r="K63" s="200"/>
      <c r="L63" s="198">
        <v>1.5</v>
      </c>
      <c r="M63" s="198">
        <v>2</v>
      </c>
      <c r="N63" s="198">
        <v>0</v>
      </c>
      <c r="O63" s="198">
        <v>0</v>
      </c>
      <c r="P63" s="197">
        <v>2026</v>
      </c>
      <c r="Q63" s="197" t="s">
        <v>95</v>
      </c>
      <c r="R63" s="197" t="s">
        <v>96</v>
      </c>
      <c r="S63" s="197" t="s">
        <v>113</v>
      </c>
    </row>
    <row r="64" spans="1:23" x14ac:dyDescent="0.25">
      <c r="A64" s="197">
        <v>2020</v>
      </c>
      <c r="B64" s="197" t="s">
        <v>128</v>
      </c>
      <c r="C64" s="197" t="s">
        <v>164</v>
      </c>
      <c r="D64" s="196">
        <v>50</v>
      </c>
      <c r="E64" s="196">
        <v>50</v>
      </c>
      <c r="F64" s="198">
        <v>1.5</v>
      </c>
      <c r="G64" s="198">
        <v>8</v>
      </c>
      <c r="H64" s="200"/>
      <c r="I64" s="200"/>
      <c r="J64" s="200"/>
      <c r="K64" s="200"/>
      <c r="L64" s="198">
        <v>1.5</v>
      </c>
      <c r="M64" s="198">
        <v>2</v>
      </c>
      <c r="N64" s="198">
        <v>0</v>
      </c>
      <c r="O64" s="198">
        <v>0</v>
      </c>
      <c r="P64" s="197">
        <v>2026</v>
      </c>
      <c r="Q64" s="197" t="s">
        <v>95</v>
      </c>
      <c r="R64" s="197" t="s">
        <v>96</v>
      </c>
      <c r="S64" s="197" t="s">
        <v>163</v>
      </c>
      <c r="T64" s="197" t="s">
        <v>137</v>
      </c>
    </row>
    <row r="65" spans="1:20" x14ac:dyDescent="0.25">
      <c r="A65" s="197">
        <v>2017</v>
      </c>
      <c r="B65" s="197" t="s">
        <v>128</v>
      </c>
      <c r="C65" s="197" t="s">
        <v>165</v>
      </c>
      <c r="D65" s="196">
        <v>50</v>
      </c>
      <c r="E65" s="196">
        <v>50</v>
      </c>
      <c r="F65" s="198">
        <v>1</v>
      </c>
      <c r="G65" s="198">
        <v>8</v>
      </c>
      <c r="H65" s="200"/>
      <c r="I65" s="200"/>
      <c r="J65" s="198">
        <v>1</v>
      </c>
      <c r="K65" s="198">
        <v>2</v>
      </c>
      <c r="L65" s="198">
        <v>1</v>
      </c>
      <c r="M65" s="198">
        <v>1.5</v>
      </c>
      <c r="N65" s="198">
        <v>0</v>
      </c>
      <c r="O65" s="198">
        <v>0</v>
      </c>
      <c r="P65" s="197">
        <v>2026</v>
      </c>
      <c r="Q65" s="197" t="s">
        <v>95</v>
      </c>
      <c r="R65" s="197" t="s">
        <v>96</v>
      </c>
      <c r="S65" s="197" t="s">
        <v>113</v>
      </c>
    </row>
    <row r="66" spans="1:20" x14ac:dyDescent="0.25">
      <c r="A66" s="197">
        <v>2021</v>
      </c>
      <c r="B66" s="197" t="s">
        <v>128</v>
      </c>
      <c r="C66" s="197" t="s">
        <v>165</v>
      </c>
      <c r="D66" s="196">
        <v>50</v>
      </c>
      <c r="E66" s="196">
        <v>50</v>
      </c>
      <c r="F66" s="198">
        <v>1</v>
      </c>
      <c r="G66" s="198">
        <v>8</v>
      </c>
      <c r="H66" s="200"/>
      <c r="I66" s="200"/>
      <c r="J66" s="198">
        <v>1</v>
      </c>
      <c r="K66" s="198">
        <v>2</v>
      </c>
      <c r="L66" s="198">
        <v>1</v>
      </c>
      <c r="M66" s="198">
        <v>1.5</v>
      </c>
      <c r="N66" s="198">
        <v>0</v>
      </c>
      <c r="O66" s="198">
        <v>0</v>
      </c>
      <c r="P66" s="197">
        <v>2026</v>
      </c>
      <c r="Q66" s="197" t="s">
        <v>95</v>
      </c>
      <c r="R66" s="197" t="s">
        <v>96</v>
      </c>
      <c r="S66" s="197" t="s">
        <v>163</v>
      </c>
      <c r="T66" s="197" t="s">
        <v>138</v>
      </c>
    </row>
    <row r="67" spans="1:20" x14ac:dyDescent="0.25">
      <c r="A67" s="197">
        <v>2018</v>
      </c>
      <c r="B67" s="197" t="s">
        <v>128</v>
      </c>
      <c r="C67" s="197" t="s">
        <v>166</v>
      </c>
      <c r="D67" s="196">
        <v>50</v>
      </c>
      <c r="E67" s="196">
        <v>50</v>
      </c>
      <c r="F67" s="198">
        <v>1</v>
      </c>
      <c r="G67" s="198">
        <v>8</v>
      </c>
      <c r="H67" s="200"/>
      <c r="I67" s="200"/>
      <c r="J67" s="200"/>
      <c r="K67" s="200"/>
      <c r="L67" s="201"/>
      <c r="M67" s="201"/>
      <c r="N67" s="198">
        <v>1</v>
      </c>
      <c r="O67" s="198">
        <v>1.5</v>
      </c>
      <c r="P67" s="197">
        <v>2026</v>
      </c>
      <c r="Q67" s="197" t="s">
        <v>95</v>
      </c>
      <c r="R67" s="197" t="s">
        <v>96</v>
      </c>
      <c r="S67" s="197" t="s">
        <v>113</v>
      </c>
    </row>
    <row r="68" spans="1:20" x14ac:dyDescent="0.25">
      <c r="A68" s="197">
        <v>2022</v>
      </c>
      <c r="B68" s="197" t="s">
        <v>128</v>
      </c>
      <c r="C68" s="197" t="s">
        <v>166</v>
      </c>
      <c r="D68" s="196">
        <v>50</v>
      </c>
      <c r="E68" s="196">
        <v>50</v>
      </c>
      <c r="F68" s="198">
        <v>1</v>
      </c>
      <c r="G68" s="198">
        <v>8</v>
      </c>
      <c r="H68" s="200"/>
      <c r="I68" s="200"/>
      <c r="J68" s="200"/>
      <c r="K68" s="200"/>
      <c r="L68" s="201"/>
      <c r="M68" s="201"/>
      <c r="N68" s="198">
        <v>1</v>
      </c>
      <c r="O68" s="198">
        <v>1.5</v>
      </c>
      <c r="P68" s="197">
        <v>2026</v>
      </c>
      <c r="Q68" s="197" t="s">
        <v>95</v>
      </c>
      <c r="R68" s="197" t="s">
        <v>96</v>
      </c>
      <c r="S68" s="197" t="s">
        <v>163</v>
      </c>
      <c r="T68" s="197" t="s">
        <v>139</v>
      </c>
    </row>
    <row r="69" spans="1:20" x14ac:dyDescent="0.25">
      <c r="A69" s="197">
        <v>1753</v>
      </c>
      <c r="B69" s="197" t="s">
        <v>128</v>
      </c>
      <c r="C69" s="197" t="s">
        <v>167</v>
      </c>
      <c r="D69" s="196">
        <v>50</v>
      </c>
      <c r="E69" s="196">
        <v>50</v>
      </c>
      <c r="F69" s="198">
        <v>1</v>
      </c>
      <c r="G69" s="198">
        <v>8</v>
      </c>
      <c r="H69" s="198">
        <v>2</v>
      </c>
      <c r="I69" s="198">
        <v>7</v>
      </c>
      <c r="J69" s="198">
        <v>2</v>
      </c>
      <c r="K69" s="198">
        <v>4</v>
      </c>
      <c r="L69" s="198">
        <v>2</v>
      </c>
      <c r="M69" s="198">
        <v>2.5</v>
      </c>
      <c r="N69" s="198">
        <v>0</v>
      </c>
      <c r="O69" s="198">
        <v>0</v>
      </c>
      <c r="P69" s="197">
        <v>2026</v>
      </c>
      <c r="Q69" s="197" t="s">
        <v>95</v>
      </c>
      <c r="R69" s="197" t="s">
        <v>96</v>
      </c>
      <c r="S69" s="197" t="s">
        <v>102</v>
      </c>
      <c r="T69" s="197" t="s">
        <v>136</v>
      </c>
    </row>
    <row r="70" spans="1:20" x14ac:dyDescent="0.25">
      <c r="A70" s="197">
        <v>1753</v>
      </c>
      <c r="B70" s="197" t="s">
        <v>128</v>
      </c>
      <c r="C70" s="197" t="s">
        <v>167</v>
      </c>
      <c r="D70" s="196">
        <v>50</v>
      </c>
      <c r="E70" s="196">
        <v>50</v>
      </c>
      <c r="F70" s="198">
        <v>1</v>
      </c>
      <c r="G70" s="198">
        <v>8</v>
      </c>
      <c r="H70" s="200"/>
      <c r="I70" s="200"/>
      <c r="J70" s="200"/>
      <c r="K70" s="200"/>
      <c r="L70" s="198">
        <v>1.5</v>
      </c>
      <c r="M70" s="198">
        <v>2</v>
      </c>
      <c r="N70" s="198">
        <v>0</v>
      </c>
      <c r="O70" s="198">
        <v>0</v>
      </c>
      <c r="P70" s="197">
        <v>2026</v>
      </c>
      <c r="Q70" s="197" t="s">
        <v>95</v>
      </c>
      <c r="R70" s="197" t="s">
        <v>96</v>
      </c>
      <c r="S70" s="197" t="s">
        <v>102</v>
      </c>
      <c r="T70" s="197" t="s">
        <v>162</v>
      </c>
    </row>
    <row r="71" spans="1:20" x14ac:dyDescent="0.25">
      <c r="A71" s="197">
        <v>1754</v>
      </c>
      <c r="B71" s="197" t="s">
        <v>128</v>
      </c>
      <c r="C71" s="197" t="s">
        <v>168</v>
      </c>
      <c r="D71" s="196">
        <v>50</v>
      </c>
      <c r="E71" s="196">
        <v>50</v>
      </c>
      <c r="F71" s="198">
        <v>1</v>
      </c>
      <c r="G71" s="198">
        <v>8</v>
      </c>
      <c r="H71" s="198">
        <v>2</v>
      </c>
      <c r="I71" s="198">
        <v>8</v>
      </c>
      <c r="J71" s="198">
        <v>2</v>
      </c>
      <c r="K71" s="198">
        <v>4</v>
      </c>
      <c r="L71" s="198">
        <v>2</v>
      </c>
      <c r="M71" s="198">
        <v>3</v>
      </c>
      <c r="N71" s="198">
        <v>0</v>
      </c>
      <c r="O71" s="198">
        <v>0</v>
      </c>
      <c r="P71" s="197">
        <v>2026</v>
      </c>
      <c r="Q71" s="197" t="s">
        <v>95</v>
      </c>
      <c r="R71" s="197" t="s">
        <v>96</v>
      </c>
      <c r="S71" s="197" t="s">
        <v>102</v>
      </c>
      <c r="T71" s="197" t="s">
        <v>137</v>
      </c>
    </row>
    <row r="72" spans="1:20" x14ac:dyDescent="0.25">
      <c r="A72" s="197">
        <v>1754</v>
      </c>
      <c r="B72" s="197" t="s">
        <v>128</v>
      </c>
      <c r="C72" s="197" t="s">
        <v>168</v>
      </c>
      <c r="D72" s="196">
        <v>50</v>
      </c>
      <c r="E72" s="196">
        <v>50</v>
      </c>
      <c r="F72" s="198">
        <v>1</v>
      </c>
      <c r="G72" s="198">
        <v>8</v>
      </c>
      <c r="H72" s="200"/>
      <c r="I72" s="200"/>
      <c r="J72" s="200"/>
      <c r="K72" s="200"/>
      <c r="L72" s="198">
        <v>1.5</v>
      </c>
      <c r="M72" s="198">
        <v>2</v>
      </c>
      <c r="N72" s="198">
        <v>0</v>
      </c>
      <c r="O72" s="198">
        <v>0</v>
      </c>
      <c r="P72" s="197">
        <v>2026</v>
      </c>
      <c r="Q72" s="197" t="s">
        <v>95</v>
      </c>
      <c r="R72" s="197" t="s">
        <v>96</v>
      </c>
      <c r="S72" s="197" t="s">
        <v>102</v>
      </c>
      <c r="T72" s="197" t="s">
        <v>164</v>
      </c>
    </row>
    <row r="73" spans="1:20" x14ac:dyDescent="0.25">
      <c r="A73" s="197">
        <v>1755</v>
      </c>
      <c r="B73" s="197" t="s">
        <v>128</v>
      </c>
      <c r="C73" s="197" t="s">
        <v>169</v>
      </c>
      <c r="D73" s="196">
        <v>50</v>
      </c>
      <c r="E73" s="196">
        <v>50</v>
      </c>
      <c r="F73" s="198">
        <v>1</v>
      </c>
      <c r="G73" s="198">
        <v>8</v>
      </c>
      <c r="H73" s="198">
        <v>2</v>
      </c>
      <c r="I73" s="198">
        <v>8</v>
      </c>
      <c r="J73" s="198">
        <v>2</v>
      </c>
      <c r="K73" s="198">
        <v>6</v>
      </c>
      <c r="L73" s="198">
        <v>2</v>
      </c>
      <c r="M73" s="198">
        <v>3</v>
      </c>
      <c r="N73" s="198">
        <v>0</v>
      </c>
      <c r="O73" s="198">
        <v>0</v>
      </c>
      <c r="P73" s="197">
        <v>2026</v>
      </c>
      <c r="Q73" s="197" t="s">
        <v>95</v>
      </c>
      <c r="R73" s="197" t="s">
        <v>96</v>
      </c>
      <c r="S73" s="197" t="s">
        <v>102</v>
      </c>
      <c r="T73" s="197" t="s">
        <v>138</v>
      </c>
    </row>
    <row r="74" spans="1:20" x14ac:dyDescent="0.25">
      <c r="A74" s="197">
        <v>1755</v>
      </c>
      <c r="B74" s="197" t="s">
        <v>128</v>
      </c>
      <c r="C74" s="197" t="s">
        <v>169</v>
      </c>
      <c r="D74" s="196">
        <v>50</v>
      </c>
      <c r="E74" s="196">
        <v>50</v>
      </c>
      <c r="F74" s="198">
        <v>1</v>
      </c>
      <c r="G74" s="198">
        <v>8</v>
      </c>
      <c r="H74" s="200"/>
      <c r="I74" s="200"/>
      <c r="J74" s="198">
        <v>1</v>
      </c>
      <c r="K74" s="198">
        <v>2</v>
      </c>
      <c r="L74" s="198">
        <v>1</v>
      </c>
      <c r="M74" s="198">
        <v>1.5</v>
      </c>
      <c r="N74" s="198">
        <v>0</v>
      </c>
      <c r="O74" s="198">
        <v>0</v>
      </c>
      <c r="P74" s="197">
        <v>2026</v>
      </c>
      <c r="Q74" s="197" t="s">
        <v>95</v>
      </c>
      <c r="R74" s="197" t="s">
        <v>96</v>
      </c>
      <c r="S74" s="197" t="s">
        <v>102</v>
      </c>
      <c r="T74" s="197" t="s">
        <v>165</v>
      </c>
    </row>
    <row r="75" spans="1:20" x14ac:dyDescent="0.25">
      <c r="A75" s="197">
        <v>2000</v>
      </c>
      <c r="B75" s="197" t="s">
        <v>128</v>
      </c>
      <c r="C75" s="197" t="s">
        <v>170</v>
      </c>
      <c r="D75" s="196">
        <v>50</v>
      </c>
      <c r="E75" s="196">
        <v>50</v>
      </c>
      <c r="F75" s="198">
        <v>1</v>
      </c>
      <c r="G75" s="198">
        <v>8</v>
      </c>
      <c r="H75" s="198">
        <v>2</v>
      </c>
      <c r="I75" s="198">
        <v>5</v>
      </c>
      <c r="J75" s="198">
        <v>2</v>
      </c>
      <c r="K75" s="198">
        <v>3</v>
      </c>
      <c r="L75" s="198">
        <v>2</v>
      </c>
      <c r="M75" s="198">
        <v>3</v>
      </c>
      <c r="N75" s="198">
        <v>0</v>
      </c>
      <c r="O75" s="198">
        <v>0</v>
      </c>
      <c r="P75" s="197">
        <v>2026</v>
      </c>
      <c r="Q75" s="197" t="s">
        <v>95</v>
      </c>
      <c r="R75" s="197" t="s">
        <v>96</v>
      </c>
      <c r="S75" s="197" t="s">
        <v>102</v>
      </c>
      <c r="T75" s="197" t="s">
        <v>139</v>
      </c>
    </row>
    <row r="76" spans="1:20" x14ac:dyDescent="0.25">
      <c r="A76" s="197">
        <v>2000</v>
      </c>
      <c r="B76" s="197" t="s">
        <v>128</v>
      </c>
      <c r="C76" s="197" t="s">
        <v>170</v>
      </c>
      <c r="D76" s="196">
        <v>50</v>
      </c>
      <c r="E76" s="196">
        <v>50</v>
      </c>
      <c r="F76" s="198">
        <v>1</v>
      </c>
      <c r="G76" s="198">
        <v>8</v>
      </c>
      <c r="H76" s="200"/>
      <c r="I76" s="200"/>
      <c r="J76" s="200"/>
      <c r="K76" s="200"/>
      <c r="L76" s="201"/>
      <c r="M76" s="201"/>
      <c r="N76" s="198">
        <v>1</v>
      </c>
      <c r="O76" s="198">
        <v>1.5</v>
      </c>
      <c r="P76" s="197">
        <v>2026</v>
      </c>
      <c r="Q76" s="197" t="s">
        <v>95</v>
      </c>
      <c r="R76" s="197" t="s">
        <v>96</v>
      </c>
      <c r="S76" s="197" t="s">
        <v>102</v>
      </c>
      <c r="T76" s="197" t="s">
        <v>166</v>
      </c>
    </row>
    <row r="77" spans="1:20" x14ac:dyDescent="0.25">
      <c r="A77" s="197">
        <v>2087</v>
      </c>
      <c r="B77" s="197" t="s">
        <v>128</v>
      </c>
      <c r="C77" s="197" t="s">
        <v>171</v>
      </c>
      <c r="D77" s="196">
        <v>50</v>
      </c>
      <c r="E77" s="196">
        <v>50</v>
      </c>
      <c r="F77" s="198">
        <v>2</v>
      </c>
      <c r="G77" s="198">
        <v>8</v>
      </c>
      <c r="H77" s="198">
        <v>2</v>
      </c>
      <c r="I77" s="198">
        <v>8</v>
      </c>
      <c r="J77" s="198">
        <v>2</v>
      </c>
      <c r="K77" s="198">
        <v>8</v>
      </c>
      <c r="L77" s="198">
        <v>2</v>
      </c>
      <c r="M77" s="198">
        <v>6</v>
      </c>
      <c r="N77" s="198">
        <v>0</v>
      </c>
      <c r="O77" s="198">
        <v>0</v>
      </c>
      <c r="P77" s="197">
        <v>2023</v>
      </c>
      <c r="Q77" s="197" t="s">
        <v>95</v>
      </c>
      <c r="R77" s="197" t="s">
        <v>96</v>
      </c>
      <c r="S77" s="197" t="s">
        <v>102</v>
      </c>
      <c r="T77" s="197" t="s">
        <v>140</v>
      </c>
    </row>
    <row r="78" spans="1:20" x14ac:dyDescent="0.25">
      <c r="A78" s="197">
        <v>2291</v>
      </c>
      <c r="B78" s="197" t="s">
        <v>172</v>
      </c>
      <c r="C78" s="197" t="s">
        <v>173</v>
      </c>
      <c r="D78" s="196">
        <v>25</v>
      </c>
      <c r="E78" s="196">
        <v>40</v>
      </c>
      <c r="F78" s="198">
        <v>1.5</v>
      </c>
      <c r="G78" s="198">
        <v>8</v>
      </c>
      <c r="H78" s="198">
        <v>1.5</v>
      </c>
      <c r="I78" s="198">
        <v>3</v>
      </c>
      <c r="J78" s="198">
        <v>1.5</v>
      </c>
      <c r="K78" s="198">
        <v>3</v>
      </c>
      <c r="L78" s="198">
        <v>1.5</v>
      </c>
      <c r="M78" s="198">
        <v>2</v>
      </c>
      <c r="N78" s="198">
        <v>1.5</v>
      </c>
      <c r="O78" s="198">
        <v>1.6</v>
      </c>
      <c r="P78" s="197">
        <v>2027</v>
      </c>
      <c r="Q78" s="197" t="s">
        <v>100</v>
      </c>
      <c r="R78" s="197" t="s">
        <v>96</v>
      </c>
      <c r="S78" s="197" t="s">
        <v>97</v>
      </c>
    </row>
    <row r="79" spans="1:20" x14ac:dyDescent="0.25">
      <c r="A79" s="197">
        <v>2290</v>
      </c>
      <c r="B79" s="197" t="s">
        <v>172</v>
      </c>
      <c r="C79" s="197" t="s">
        <v>174</v>
      </c>
      <c r="D79" s="196">
        <v>25</v>
      </c>
      <c r="E79" s="196">
        <v>40</v>
      </c>
      <c r="F79" s="198">
        <v>1.5</v>
      </c>
      <c r="G79" s="198">
        <v>8</v>
      </c>
      <c r="H79" s="198">
        <v>1.5</v>
      </c>
      <c r="I79" s="198">
        <v>3</v>
      </c>
      <c r="J79" s="198">
        <v>1.5</v>
      </c>
      <c r="K79" s="198">
        <v>3</v>
      </c>
      <c r="L79" s="198">
        <v>1.5</v>
      </c>
      <c r="M79" s="198">
        <v>3</v>
      </c>
      <c r="N79" s="198">
        <v>1.5</v>
      </c>
      <c r="O79" s="198">
        <v>1.6</v>
      </c>
      <c r="P79" s="197">
        <v>2027</v>
      </c>
      <c r="Q79" s="197" t="s">
        <v>100</v>
      </c>
      <c r="R79" s="197" t="s">
        <v>96</v>
      </c>
      <c r="S79" s="197" t="s">
        <v>97</v>
      </c>
    </row>
    <row r="80" spans="1:20" x14ac:dyDescent="0.25">
      <c r="A80" s="197">
        <v>1981</v>
      </c>
      <c r="B80" s="197" t="s">
        <v>128</v>
      </c>
      <c r="C80" s="197" t="s">
        <v>175</v>
      </c>
      <c r="D80" s="196">
        <v>50</v>
      </c>
      <c r="E80" s="196">
        <v>50</v>
      </c>
      <c r="F80" s="198">
        <v>1.5</v>
      </c>
      <c r="G80" s="198">
        <v>8</v>
      </c>
      <c r="H80" s="198">
        <v>1.5</v>
      </c>
      <c r="I80" s="198">
        <v>8</v>
      </c>
      <c r="J80" s="198">
        <v>1.5</v>
      </c>
      <c r="K80" s="198">
        <v>8</v>
      </c>
      <c r="L80" s="198">
        <v>1.5</v>
      </c>
      <c r="M80" s="198">
        <v>6</v>
      </c>
      <c r="N80" s="198">
        <v>1.5</v>
      </c>
      <c r="O80" s="198">
        <v>5</v>
      </c>
      <c r="P80" s="197">
        <v>2023</v>
      </c>
      <c r="Q80" s="197" t="s">
        <v>121</v>
      </c>
      <c r="R80" s="197" t="s">
        <v>96</v>
      </c>
      <c r="S80" s="197" t="s">
        <v>176</v>
      </c>
    </row>
    <row r="81" spans="1:21" x14ac:dyDescent="0.25">
      <c r="A81" s="197">
        <v>2128</v>
      </c>
      <c r="B81" s="197" t="s">
        <v>177</v>
      </c>
      <c r="C81" s="197" t="s">
        <v>178</v>
      </c>
      <c r="D81" s="196">
        <v>50</v>
      </c>
      <c r="E81" s="196">
        <v>50</v>
      </c>
      <c r="F81" s="198">
        <v>1.5</v>
      </c>
      <c r="G81" s="198">
        <v>6</v>
      </c>
      <c r="H81" s="198">
        <v>1.5</v>
      </c>
      <c r="I81" s="198">
        <v>5</v>
      </c>
      <c r="J81" s="198">
        <v>1.5</v>
      </c>
      <c r="K81" s="198">
        <v>3</v>
      </c>
      <c r="L81" s="198">
        <v>1.5</v>
      </c>
      <c r="M81" s="198">
        <v>1.5</v>
      </c>
      <c r="N81" s="198">
        <v>0</v>
      </c>
      <c r="O81" s="198">
        <v>0</v>
      </c>
      <c r="P81" s="197">
        <v>2024</v>
      </c>
      <c r="Q81" s="197" t="s">
        <v>100</v>
      </c>
      <c r="R81" s="197" t="s">
        <v>96</v>
      </c>
      <c r="S81" s="197" t="s">
        <v>113</v>
      </c>
    </row>
    <row r="82" spans="1:21" x14ac:dyDescent="0.25">
      <c r="A82" s="197">
        <v>2129</v>
      </c>
      <c r="B82" s="197" t="s">
        <v>177</v>
      </c>
      <c r="C82" s="197" t="s">
        <v>179</v>
      </c>
      <c r="D82" s="196">
        <v>50</v>
      </c>
      <c r="E82" s="196">
        <v>50</v>
      </c>
      <c r="F82" s="198">
        <v>1.5</v>
      </c>
      <c r="G82" s="198">
        <v>6</v>
      </c>
      <c r="H82" s="198">
        <v>1.5</v>
      </c>
      <c r="I82" s="198">
        <v>3</v>
      </c>
      <c r="J82" s="198">
        <v>1.5</v>
      </c>
      <c r="K82" s="198">
        <v>2</v>
      </c>
      <c r="L82" s="198">
        <v>1.5</v>
      </c>
      <c r="M82" s="198">
        <v>1.5</v>
      </c>
      <c r="N82" s="198">
        <v>0</v>
      </c>
      <c r="O82" s="198">
        <v>0</v>
      </c>
      <c r="P82" s="197">
        <v>2024</v>
      </c>
      <c r="Q82" s="197" t="s">
        <v>100</v>
      </c>
      <c r="R82" s="197" t="s">
        <v>96</v>
      </c>
      <c r="S82" s="197" t="s">
        <v>113</v>
      </c>
    </row>
    <row r="83" spans="1:21" x14ac:dyDescent="0.25">
      <c r="A83" s="197">
        <v>1907</v>
      </c>
      <c r="B83" s="197" t="s">
        <v>177</v>
      </c>
      <c r="C83" s="197" t="s">
        <v>180</v>
      </c>
      <c r="D83" s="196">
        <v>50</v>
      </c>
      <c r="E83" s="196">
        <v>50</v>
      </c>
      <c r="F83" s="198">
        <v>1</v>
      </c>
      <c r="G83" s="198">
        <v>6</v>
      </c>
      <c r="H83" s="198">
        <v>1</v>
      </c>
      <c r="I83" s="198">
        <v>4</v>
      </c>
      <c r="J83" s="198">
        <v>1</v>
      </c>
      <c r="K83" s="198">
        <v>2</v>
      </c>
      <c r="L83" s="198">
        <v>1</v>
      </c>
      <c r="M83" s="198">
        <v>1.5</v>
      </c>
      <c r="N83" s="198">
        <v>0</v>
      </c>
      <c r="O83" s="198">
        <v>0</v>
      </c>
      <c r="P83" s="197">
        <v>2024</v>
      </c>
      <c r="Q83" s="197" t="s">
        <v>100</v>
      </c>
      <c r="R83" s="197" t="s">
        <v>96</v>
      </c>
      <c r="S83" s="197" t="s">
        <v>113</v>
      </c>
    </row>
    <row r="84" spans="1:21" x14ac:dyDescent="0.25">
      <c r="A84" s="197">
        <v>1908</v>
      </c>
      <c r="B84" s="197" t="s">
        <v>177</v>
      </c>
      <c r="C84" s="197" t="s">
        <v>181</v>
      </c>
      <c r="D84" s="196">
        <v>50</v>
      </c>
      <c r="E84" s="196">
        <v>50</v>
      </c>
      <c r="F84" s="198">
        <v>1</v>
      </c>
      <c r="G84" s="198">
        <v>6</v>
      </c>
      <c r="H84" s="198">
        <v>1</v>
      </c>
      <c r="I84" s="198">
        <v>2</v>
      </c>
      <c r="J84" s="198">
        <v>1</v>
      </c>
      <c r="K84" s="198">
        <v>1.5</v>
      </c>
      <c r="L84" s="198">
        <v>1</v>
      </c>
      <c r="M84" s="198">
        <v>1</v>
      </c>
      <c r="N84" s="198">
        <v>0</v>
      </c>
      <c r="O84" s="198">
        <v>0</v>
      </c>
      <c r="P84" s="197">
        <v>2023</v>
      </c>
      <c r="Q84" s="197" t="s">
        <v>100</v>
      </c>
      <c r="R84" s="197" t="s">
        <v>96</v>
      </c>
      <c r="S84" s="197" t="s">
        <v>113</v>
      </c>
    </row>
    <row r="85" spans="1:21" x14ac:dyDescent="0.25">
      <c r="A85" s="197">
        <v>1909</v>
      </c>
      <c r="B85" s="197" t="s">
        <v>177</v>
      </c>
      <c r="C85" s="197" t="s">
        <v>182</v>
      </c>
      <c r="D85" s="196">
        <v>50</v>
      </c>
      <c r="E85" s="196">
        <v>50</v>
      </c>
      <c r="F85" s="198">
        <v>1</v>
      </c>
      <c r="G85" s="198">
        <v>6</v>
      </c>
      <c r="H85" s="198">
        <v>1</v>
      </c>
      <c r="I85" s="198">
        <v>3</v>
      </c>
      <c r="J85" s="198">
        <v>1</v>
      </c>
      <c r="K85" s="198">
        <v>1.5</v>
      </c>
      <c r="L85" s="198">
        <v>1</v>
      </c>
      <c r="M85" s="198">
        <v>1</v>
      </c>
      <c r="N85" s="198">
        <v>0</v>
      </c>
      <c r="O85" s="198">
        <v>0</v>
      </c>
      <c r="P85" s="197">
        <v>2023</v>
      </c>
      <c r="Q85" s="197" t="s">
        <v>100</v>
      </c>
      <c r="R85" s="197" t="s">
        <v>96</v>
      </c>
      <c r="S85" s="197" t="s">
        <v>113</v>
      </c>
    </row>
    <row r="86" spans="1:21" x14ac:dyDescent="0.25">
      <c r="A86" s="197">
        <v>1783</v>
      </c>
      <c r="B86" s="197" t="s">
        <v>177</v>
      </c>
      <c r="C86" s="197" t="s">
        <v>183</v>
      </c>
      <c r="D86" s="196">
        <v>50</v>
      </c>
      <c r="E86" s="196">
        <v>50</v>
      </c>
      <c r="F86" s="198">
        <v>1</v>
      </c>
      <c r="G86" s="198">
        <v>6</v>
      </c>
      <c r="H86" s="198">
        <v>1</v>
      </c>
      <c r="I86" s="198">
        <v>3</v>
      </c>
      <c r="J86" s="198">
        <v>1</v>
      </c>
      <c r="K86" s="198">
        <v>1</v>
      </c>
      <c r="L86" s="198">
        <v>1</v>
      </c>
      <c r="M86" s="198">
        <v>1</v>
      </c>
      <c r="N86" s="198">
        <v>0</v>
      </c>
      <c r="O86" s="198">
        <v>0</v>
      </c>
      <c r="P86" s="197">
        <v>2022</v>
      </c>
      <c r="Q86" s="197" t="s">
        <v>100</v>
      </c>
      <c r="R86" s="197" t="s">
        <v>96</v>
      </c>
      <c r="S86" s="197" t="s">
        <v>97</v>
      </c>
    </row>
    <row r="87" spans="1:21" x14ac:dyDescent="0.25">
      <c r="A87" s="197">
        <v>1784</v>
      </c>
      <c r="B87" s="197" t="s">
        <v>177</v>
      </c>
      <c r="C87" s="197" t="s">
        <v>184</v>
      </c>
      <c r="D87" s="196">
        <v>50</v>
      </c>
      <c r="E87" s="196">
        <v>50</v>
      </c>
      <c r="F87" s="198">
        <v>1</v>
      </c>
      <c r="G87" s="198">
        <v>6</v>
      </c>
      <c r="H87" s="198">
        <v>1</v>
      </c>
      <c r="I87" s="198">
        <v>6</v>
      </c>
      <c r="J87" s="198">
        <v>1</v>
      </c>
      <c r="K87" s="198">
        <v>1.5</v>
      </c>
      <c r="L87" s="198">
        <v>1</v>
      </c>
      <c r="M87" s="198">
        <v>1</v>
      </c>
      <c r="N87" s="198">
        <v>0</v>
      </c>
      <c r="O87" s="198">
        <v>0</v>
      </c>
      <c r="P87" s="197">
        <v>2023</v>
      </c>
      <c r="Q87" s="197" t="s">
        <v>100</v>
      </c>
      <c r="R87" s="197" t="s">
        <v>96</v>
      </c>
      <c r="S87" s="197" t="s">
        <v>97</v>
      </c>
    </row>
    <row r="88" spans="1:21" x14ac:dyDescent="0.25">
      <c r="A88" s="197">
        <v>2190</v>
      </c>
      <c r="B88" s="197" t="s">
        <v>177</v>
      </c>
      <c r="C88" s="197" t="s">
        <v>185</v>
      </c>
      <c r="D88" s="196">
        <v>50</v>
      </c>
      <c r="E88" s="196">
        <v>50</v>
      </c>
      <c r="F88" s="198">
        <v>1</v>
      </c>
      <c r="G88" s="198">
        <v>6</v>
      </c>
      <c r="H88" s="198">
        <v>1</v>
      </c>
      <c r="I88" s="198">
        <v>6</v>
      </c>
      <c r="J88" s="198">
        <v>1</v>
      </c>
      <c r="K88" s="198">
        <v>2</v>
      </c>
      <c r="L88" s="198">
        <v>1</v>
      </c>
      <c r="M88" s="198">
        <v>1</v>
      </c>
      <c r="N88" s="198">
        <v>0</v>
      </c>
      <c r="O88" s="198">
        <v>0</v>
      </c>
      <c r="P88" s="197">
        <v>2025</v>
      </c>
      <c r="Q88" s="197" t="s">
        <v>100</v>
      </c>
      <c r="R88" s="197" t="s">
        <v>96</v>
      </c>
      <c r="S88" s="197" t="s">
        <v>97</v>
      </c>
    </row>
    <row r="89" spans="1:21" x14ac:dyDescent="0.25">
      <c r="A89" s="197">
        <v>2234</v>
      </c>
      <c r="B89" s="197" t="s">
        <v>177</v>
      </c>
      <c r="C89" s="197" t="s">
        <v>186</v>
      </c>
      <c r="D89" s="196">
        <v>50</v>
      </c>
      <c r="E89" s="196">
        <v>50</v>
      </c>
      <c r="F89" s="198">
        <v>1</v>
      </c>
      <c r="G89" s="198">
        <v>6</v>
      </c>
      <c r="H89" s="198">
        <v>1</v>
      </c>
      <c r="I89" s="198">
        <v>6</v>
      </c>
      <c r="J89" s="198">
        <v>1</v>
      </c>
      <c r="K89" s="198">
        <v>2</v>
      </c>
      <c r="L89" s="198">
        <v>1</v>
      </c>
      <c r="M89" s="198">
        <v>1</v>
      </c>
      <c r="N89" s="198">
        <v>0</v>
      </c>
      <c r="O89" s="198">
        <v>0</v>
      </c>
      <c r="P89" s="197">
        <v>2026</v>
      </c>
      <c r="Q89" s="197" t="s">
        <v>100</v>
      </c>
      <c r="R89" s="197" t="s">
        <v>96</v>
      </c>
      <c r="S89" s="197" t="s">
        <v>97</v>
      </c>
    </row>
    <row r="90" spans="1:21" x14ac:dyDescent="0.25">
      <c r="A90" s="197">
        <v>2217</v>
      </c>
      <c r="B90" s="197" t="s">
        <v>128</v>
      </c>
      <c r="C90" s="197" t="s">
        <v>187</v>
      </c>
      <c r="D90" s="196">
        <v>50</v>
      </c>
      <c r="E90" s="196">
        <v>50</v>
      </c>
      <c r="F90" s="198">
        <v>1.5</v>
      </c>
      <c r="G90" s="198">
        <v>8</v>
      </c>
      <c r="H90" s="200"/>
      <c r="I90" s="200"/>
      <c r="J90" s="200"/>
      <c r="K90" s="200"/>
      <c r="L90" s="198">
        <v>1.5</v>
      </c>
      <c r="M90" s="198">
        <v>2</v>
      </c>
      <c r="N90" s="198">
        <v>0</v>
      </c>
      <c r="O90" s="198">
        <v>0</v>
      </c>
      <c r="P90" s="197">
        <v>2026</v>
      </c>
      <c r="Q90" s="197" t="s">
        <v>95</v>
      </c>
      <c r="R90" s="197" t="s">
        <v>96</v>
      </c>
      <c r="S90" s="197" t="s">
        <v>113</v>
      </c>
      <c r="U90" s="197" t="s">
        <v>188</v>
      </c>
    </row>
    <row r="91" spans="1:21" x14ac:dyDescent="0.25">
      <c r="A91" s="197">
        <v>2018</v>
      </c>
      <c r="B91" s="197" t="s">
        <v>128</v>
      </c>
      <c r="C91" s="197" t="s">
        <v>189</v>
      </c>
      <c r="D91" s="196">
        <v>50</v>
      </c>
      <c r="E91" s="196">
        <v>50</v>
      </c>
      <c r="F91" s="198">
        <v>1.5</v>
      </c>
      <c r="G91" s="198">
        <v>8</v>
      </c>
      <c r="H91" s="200"/>
      <c r="I91" s="200"/>
      <c r="J91" s="200"/>
      <c r="K91" s="200"/>
      <c r="L91" s="198">
        <v>1.5</v>
      </c>
      <c r="M91" s="198">
        <v>2</v>
      </c>
      <c r="N91" s="198">
        <v>0</v>
      </c>
      <c r="O91" s="198">
        <v>0</v>
      </c>
      <c r="P91" s="197">
        <v>2026</v>
      </c>
      <c r="Q91" s="197" t="s">
        <v>95</v>
      </c>
      <c r="R91" s="197" t="s">
        <v>96</v>
      </c>
      <c r="S91" s="197" t="s">
        <v>113</v>
      </c>
      <c r="U91" s="197" t="s">
        <v>188</v>
      </c>
    </row>
    <row r="92" spans="1:21" x14ac:dyDescent="0.25">
      <c r="A92" s="197">
        <v>2019</v>
      </c>
      <c r="B92" s="197" t="s">
        <v>128</v>
      </c>
      <c r="C92" s="197" t="s">
        <v>190</v>
      </c>
      <c r="D92" s="196">
        <v>50</v>
      </c>
      <c r="E92" s="196">
        <v>50</v>
      </c>
      <c r="F92" s="198">
        <v>1</v>
      </c>
      <c r="G92" s="198">
        <v>8</v>
      </c>
      <c r="H92" s="200"/>
      <c r="I92" s="200"/>
      <c r="J92" s="198">
        <v>1</v>
      </c>
      <c r="K92" s="198">
        <v>2</v>
      </c>
      <c r="L92" s="198">
        <v>1</v>
      </c>
      <c r="M92" s="198">
        <v>1.5</v>
      </c>
      <c r="N92" s="198">
        <v>0</v>
      </c>
      <c r="O92" s="198">
        <v>0</v>
      </c>
      <c r="P92" s="197">
        <v>2026</v>
      </c>
      <c r="Q92" s="197" t="s">
        <v>95</v>
      </c>
      <c r="R92" s="197" t="s">
        <v>96</v>
      </c>
      <c r="S92" s="197" t="s">
        <v>113</v>
      </c>
      <c r="U92" s="197" t="s">
        <v>188</v>
      </c>
    </row>
    <row r="93" spans="1:21" x14ac:dyDescent="0.25">
      <c r="A93" s="197">
        <v>2020</v>
      </c>
      <c r="B93" s="197" t="s">
        <v>172</v>
      </c>
      <c r="C93" s="197" t="s">
        <v>191</v>
      </c>
      <c r="D93" s="196">
        <v>50</v>
      </c>
      <c r="E93" s="196">
        <v>50</v>
      </c>
      <c r="F93" s="198">
        <v>1</v>
      </c>
      <c r="G93" s="198">
        <v>8</v>
      </c>
      <c r="H93" s="200"/>
      <c r="I93" s="200"/>
      <c r="J93" s="200"/>
      <c r="K93" s="200"/>
      <c r="L93" s="201"/>
      <c r="M93" s="201"/>
      <c r="N93" s="198">
        <v>1</v>
      </c>
      <c r="O93" s="198">
        <v>1.5</v>
      </c>
      <c r="P93" s="197">
        <v>2026</v>
      </c>
      <c r="Q93" s="197" t="s">
        <v>95</v>
      </c>
      <c r="R93" s="197" t="s">
        <v>96</v>
      </c>
      <c r="S93" s="197" t="s">
        <v>113</v>
      </c>
      <c r="U93" s="197" t="s">
        <v>188</v>
      </c>
    </row>
    <row r="94" spans="1:21" x14ac:dyDescent="0.25">
      <c r="A94" s="197">
        <v>2212</v>
      </c>
      <c r="B94" s="197" t="s">
        <v>128</v>
      </c>
      <c r="C94" s="197" t="s">
        <v>192</v>
      </c>
      <c r="D94" s="196">
        <v>50</v>
      </c>
      <c r="E94" s="196">
        <v>50</v>
      </c>
      <c r="F94" s="198">
        <v>1</v>
      </c>
      <c r="G94" s="198">
        <v>6</v>
      </c>
      <c r="H94" s="198">
        <v>1</v>
      </c>
      <c r="I94" s="198">
        <v>3</v>
      </c>
      <c r="J94" s="198">
        <v>1</v>
      </c>
      <c r="K94" s="198">
        <v>1.5</v>
      </c>
      <c r="L94" s="198">
        <v>1</v>
      </c>
      <c r="M94" s="198">
        <v>1</v>
      </c>
      <c r="N94" s="198">
        <v>0</v>
      </c>
      <c r="O94" s="198">
        <v>0</v>
      </c>
      <c r="P94" s="197">
        <v>2026</v>
      </c>
      <c r="Q94" s="197" t="s">
        <v>100</v>
      </c>
      <c r="R94" s="197" t="s">
        <v>96</v>
      </c>
      <c r="S94" s="197" t="s">
        <v>113</v>
      </c>
      <c r="U94" s="197" t="s">
        <v>193</v>
      </c>
    </row>
    <row r="95" spans="1:21" x14ac:dyDescent="0.25">
      <c r="A95" s="197">
        <v>2213</v>
      </c>
      <c r="B95" s="197" t="s">
        <v>128</v>
      </c>
      <c r="C95" s="197" t="s">
        <v>194</v>
      </c>
      <c r="D95" s="196">
        <v>50</v>
      </c>
      <c r="E95" s="196">
        <v>50</v>
      </c>
      <c r="F95" s="198">
        <v>1</v>
      </c>
      <c r="G95" s="198">
        <v>6</v>
      </c>
      <c r="H95" s="198">
        <v>1</v>
      </c>
      <c r="I95" s="198">
        <v>4</v>
      </c>
      <c r="J95" s="198">
        <v>1</v>
      </c>
      <c r="K95" s="198">
        <v>1.5</v>
      </c>
      <c r="L95" s="198">
        <v>1</v>
      </c>
      <c r="M95" s="198">
        <v>1</v>
      </c>
      <c r="N95" s="198">
        <v>0</v>
      </c>
      <c r="O95" s="198">
        <v>0</v>
      </c>
      <c r="P95" s="197">
        <v>2026</v>
      </c>
      <c r="Q95" s="197" t="s">
        <v>100</v>
      </c>
      <c r="R95" s="197" t="s">
        <v>96</v>
      </c>
      <c r="S95" s="197" t="s">
        <v>113</v>
      </c>
      <c r="U95" s="197" t="s">
        <v>193</v>
      </c>
    </row>
    <row r="96" spans="1:21" x14ac:dyDescent="0.25">
      <c r="A96" s="197">
        <v>2209</v>
      </c>
      <c r="B96" s="197" t="s">
        <v>128</v>
      </c>
      <c r="C96" s="197" t="s">
        <v>195</v>
      </c>
      <c r="D96" s="196">
        <v>50</v>
      </c>
      <c r="E96" s="196" t="s">
        <v>94</v>
      </c>
      <c r="F96" s="198">
        <v>1.5</v>
      </c>
      <c r="G96" s="198">
        <v>6</v>
      </c>
      <c r="H96" s="198">
        <v>1.5</v>
      </c>
      <c r="I96" s="198">
        <v>3</v>
      </c>
      <c r="J96" s="198">
        <v>1.5</v>
      </c>
      <c r="K96" s="198">
        <v>2</v>
      </c>
      <c r="L96" s="198">
        <v>1.5</v>
      </c>
      <c r="M96" s="198">
        <v>1.5</v>
      </c>
      <c r="N96" s="198">
        <v>0</v>
      </c>
      <c r="O96" s="198">
        <v>0</v>
      </c>
      <c r="P96" s="197">
        <v>2023</v>
      </c>
      <c r="Q96" s="197" t="s">
        <v>100</v>
      </c>
      <c r="R96" s="197" t="s">
        <v>96</v>
      </c>
      <c r="S96" s="197" t="s">
        <v>97</v>
      </c>
      <c r="U96" s="197" t="s">
        <v>196</v>
      </c>
    </row>
    <row r="97" spans="1:21" x14ac:dyDescent="0.25">
      <c r="A97" s="197">
        <v>2204</v>
      </c>
      <c r="B97" s="197" t="s">
        <v>128</v>
      </c>
      <c r="C97" s="197" t="s">
        <v>197</v>
      </c>
      <c r="D97" s="196">
        <v>50</v>
      </c>
      <c r="E97" s="196">
        <v>50</v>
      </c>
      <c r="F97" s="198">
        <v>2</v>
      </c>
      <c r="G97" s="198">
        <v>8</v>
      </c>
      <c r="H97" s="198">
        <v>2</v>
      </c>
      <c r="I97" s="198">
        <v>6</v>
      </c>
      <c r="J97" s="198">
        <v>2</v>
      </c>
      <c r="K97" s="198">
        <v>4</v>
      </c>
      <c r="L97" s="198">
        <v>2</v>
      </c>
      <c r="M97" s="198">
        <v>2.5</v>
      </c>
      <c r="N97" s="198">
        <v>0</v>
      </c>
      <c r="O97" s="198">
        <v>0</v>
      </c>
      <c r="P97" s="197">
        <v>2026</v>
      </c>
      <c r="Q97" s="197" t="s">
        <v>95</v>
      </c>
      <c r="R97" s="197" t="s">
        <v>96</v>
      </c>
      <c r="S97" s="197" t="s">
        <v>97</v>
      </c>
      <c r="U97" s="197" t="s">
        <v>198</v>
      </c>
    </row>
    <row r="98" spans="1:21" x14ac:dyDescent="0.25">
      <c r="A98" s="197">
        <v>2205</v>
      </c>
      <c r="B98" s="197" t="s">
        <v>128</v>
      </c>
      <c r="C98" s="197" t="s">
        <v>199</v>
      </c>
      <c r="D98" s="196">
        <v>50</v>
      </c>
      <c r="E98" s="196">
        <v>50</v>
      </c>
      <c r="F98" s="198">
        <v>2</v>
      </c>
      <c r="G98" s="198">
        <v>8</v>
      </c>
      <c r="H98" s="198">
        <v>2</v>
      </c>
      <c r="I98" s="198">
        <v>8</v>
      </c>
      <c r="J98" s="198">
        <v>2</v>
      </c>
      <c r="K98" s="198">
        <v>4</v>
      </c>
      <c r="L98" s="198">
        <v>2</v>
      </c>
      <c r="M98" s="198">
        <v>2.5</v>
      </c>
      <c r="N98" s="198">
        <v>0</v>
      </c>
      <c r="O98" s="198">
        <v>0</v>
      </c>
      <c r="P98" s="197">
        <v>2026</v>
      </c>
      <c r="Q98" s="197" t="s">
        <v>95</v>
      </c>
      <c r="R98" s="197" t="s">
        <v>96</v>
      </c>
      <c r="S98" s="197" t="s">
        <v>97</v>
      </c>
      <c r="U98" s="197" t="s">
        <v>198</v>
      </c>
    </row>
    <row r="99" spans="1:21" x14ac:dyDescent="0.25">
      <c r="A99" s="197">
        <v>2206</v>
      </c>
      <c r="B99" s="197" t="s">
        <v>128</v>
      </c>
      <c r="C99" s="197" t="s">
        <v>200</v>
      </c>
      <c r="D99" s="196">
        <v>50</v>
      </c>
      <c r="E99" s="196">
        <v>50</v>
      </c>
      <c r="F99" s="198">
        <v>2</v>
      </c>
      <c r="G99" s="198">
        <v>8</v>
      </c>
      <c r="H99" s="198">
        <v>2</v>
      </c>
      <c r="I99" s="198">
        <v>8</v>
      </c>
      <c r="J99" s="198">
        <v>2</v>
      </c>
      <c r="K99" s="198">
        <v>6</v>
      </c>
      <c r="L99" s="198">
        <v>2</v>
      </c>
      <c r="M99" s="198">
        <v>2.5</v>
      </c>
      <c r="N99" s="198">
        <v>0</v>
      </c>
      <c r="O99" s="198">
        <v>0</v>
      </c>
      <c r="P99" s="197">
        <v>2026</v>
      </c>
      <c r="Q99" s="197" t="s">
        <v>95</v>
      </c>
      <c r="R99" s="197" t="s">
        <v>96</v>
      </c>
      <c r="S99" s="197" t="s">
        <v>97</v>
      </c>
      <c r="U99" s="197" t="s">
        <v>198</v>
      </c>
    </row>
    <row r="100" spans="1:21" x14ac:dyDescent="0.25">
      <c r="A100" s="197">
        <v>2207</v>
      </c>
      <c r="B100" s="197" t="s">
        <v>128</v>
      </c>
      <c r="C100" s="197" t="s">
        <v>201</v>
      </c>
      <c r="D100" s="196">
        <v>50</v>
      </c>
      <c r="E100" s="196">
        <v>50</v>
      </c>
      <c r="F100" s="198">
        <v>2</v>
      </c>
      <c r="G100" s="198">
        <v>8</v>
      </c>
      <c r="H100" s="198">
        <v>2</v>
      </c>
      <c r="I100" s="198">
        <v>8</v>
      </c>
      <c r="J100" s="198">
        <v>2</v>
      </c>
      <c r="K100" s="198">
        <v>8</v>
      </c>
      <c r="L100" s="198">
        <v>2</v>
      </c>
      <c r="M100" s="198">
        <v>4</v>
      </c>
      <c r="N100" s="198">
        <v>0</v>
      </c>
      <c r="O100" s="198">
        <v>0</v>
      </c>
      <c r="P100" s="197">
        <v>2026</v>
      </c>
      <c r="Q100" s="197" t="s">
        <v>95</v>
      </c>
      <c r="R100" s="197" t="s">
        <v>96</v>
      </c>
      <c r="S100" s="197" t="s">
        <v>97</v>
      </c>
      <c r="U100" s="197" t="s">
        <v>198</v>
      </c>
    </row>
    <row r="101" spans="1:21" x14ac:dyDescent="0.25">
      <c r="A101" s="197">
        <v>1779</v>
      </c>
      <c r="B101" s="197" t="s">
        <v>202</v>
      </c>
      <c r="C101" s="197" t="s">
        <v>203</v>
      </c>
      <c r="D101" s="196">
        <v>50</v>
      </c>
      <c r="E101" s="196">
        <v>50</v>
      </c>
      <c r="F101" s="198">
        <v>2.5</v>
      </c>
      <c r="G101" s="198">
        <v>8</v>
      </c>
      <c r="H101" s="198">
        <v>2.5</v>
      </c>
      <c r="I101" s="198">
        <v>8</v>
      </c>
      <c r="J101" s="198">
        <v>2.5</v>
      </c>
      <c r="K101" s="198">
        <v>8</v>
      </c>
      <c r="L101" s="198">
        <v>2.5</v>
      </c>
      <c r="M101" s="198">
        <v>2.5</v>
      </c>
      <c r="N101" s="198">
        <v>0</v>
      </c>
      <c r="O101" s="198">
        <v>0</v>
      </c>
      <c r="P101" s="197">
        <v>2026</v>
      </c>
      <c r="Q101" s="197" t="s">
        <v>95</v>
      </c>
      <c r="R101" s="197" t="s">
        <v>96</v>
      </c>
      <c r="S101" s="197" t="s">
        <v>97</v>
      </c>
      <c r="U101" s="197" t="s">
        <v>204</v>
      </c>
    </row>
    <row r="102" spans="1:21" x14ac:dyDescent="0.25">
      <c r="A102" s="197">
        <v>1780</v>
      </c>
      <c r="B102" s="197" t="s">
        <v>202</v>
      </c>
      <c r="C102" s="197" t="s">
        <v>205</v>
      </c>
      <c r="D102" s="196">
        <v>50</v>
      </c>
      <c r="E102" s="196">
        <v>50</v>
      </c>
      <c r="F102" s="198">
        <v>2.5</v>
      </c>
      <c r="G102" s="198">
        <v>8</v>
      </c>
      <c r="H102" s="198">
        <v>2.5</v>
      </c>
      <c r="I102" s="198">
        <v>8</v>
      </c>
      <c r="J102" s="198">
        <v>2.5</v>
      </c>
      <c r="K102" s="198">
        <v>8</v>
      </c>
      <c r="L102" s="198">
        <v>2.5</v>
      </c>
      <c r="M102" s="198">
        <v>8</v>
      </c>
      <c r="N102" s="198">
        <v>0</v>
      </c>
      <c r="O102" s="198">
        <v>0</v>
      </c>
      <c r="P102" s="197">
        <v>2026</v>
      </c>
      <c r="Q102" s="197" t="s">
        <v>95</v>
      </c>
      <c r="R102" s="197" t="s">
        <v>96</v>
      </c>
      <c r="S102" s="197" t="s">
        <v>97</v>
      </c>
      <c r="U102" s="197" t="s">
        <v>204</v>
      </c>
    </row>
    <row r="103" spans="1:21" x14ac:dyDescent="0.25">
      <c r="A103" s="197">
        <v>2242</v>
      </c>
      <c r="B103" s="197" t="s">
        <v>98</v>
      </c>
      <c r="C103" s="197" t="s">
        <v>206</v>
      </c>
      <c r="D103" s="196" t="s">
        <v>130</v>
      </c>
      <c r="E103" s="196" t="s">
        <v>207</v>
      </c>
      <c r="F103" s="198">
        <v>2</v>
      </c>
      <c r="G103" s="198">
        <v>6</v>
      </c>
      <c r="H103" s="198">
        <v>2</v>
      </c>
      <c r="I103" s="198">
        <v>4</v>
      </c>
      <c r="J103" s="198">
        <v>2</v>
      </c>
      <c r="K103" s="198">
        <v>4</v>
      </c>
      <c r="L103" s="198">
        <v>2</v>
      </c>
      <c r="M103" s="198">
        <v>4</v>
      </c>
      <c r="N103" s="198">
        <v>0</v>
      </c>
      <c r="O103" s="198">
        <v>0</v>
      </c>
      <c r="P103" s="197">
        <v>2026</v>
      </c>
      <c r="Q103" s="197" t="s">
        <v>100</v>
      </c>
      <c r="R103" s="197" t="s">
        <v>96</v>
      </c>
      <c r="S103" s="197" t="s">
        <v>97</v>
      </c>
    </row>
    <row r="104" spans="1:21" x14ac:dyDescent="0.25">
      <c r="A104" s="197">
        <v>2103</v>
      </c>
      <c r="B104" s="197" t="s">
        <v>98</v>
      </c>
      <c r="C104" s="197" t="s">
        <v>109</v>
      </c>
      <c r="D104" s="196">
        <v>50</v>
      </c>
      <c r="E104" s="196">
        <v>50</v>
      </c>
      <c r="F104" s="198">
        <v>2</v>
      </c>
      <c r="G104" s="198">
        <v>6</v>
      </c>
      <c r="H104" s="198">
        <v>2</v>
      </c>
      <c r="I104" s="198">
        <v>6</v>
      </c>
      <c r="J104" s="198">
        <v>2</v>
      </c>
      <c r="K104" s="198">
        <v>3</v>
      </c>
      <c r="L104" s="198">
        <v>2</v>
      </c>
      <c r="M104" s="198">
        <v>2</v>
      </c>
      <c r="N104" s="198">
        <v>0</v>
      </c>
      <c r="O104" s="198">
        <v>0</v>
      </c>
      <c r="P104" s="197">
        <v>2024</v>
      </c>
      <c r="Q104" s="197" t="s">
        <v>121</v>
      </c>
      <c r="R104" s="197" t="s">
        <v>96</v>
      </c>
      <c r="S104" s="197" t="s">
        <v>97</v>
      </c>
    </row>
    <row r="105" spans="1:21" x14ac:dyDescent="0.25">
      <c r="A105" s="197">
        <v>2104</v>
      </c>
      <c r="B105" s="197" t="s">
        <v>98</v>
      </c>
      <c r="C105" s="197" t="s">
        <v>111</v>
      </c>
      <c r="D105" s="196">
        <v>50</v>
      </c>
      <c r="E105" s="196">
        <v>50</v>
      </c>
      <c r="F105" s="198">
        <v>2</v>
      </c>
      <c r="G105" s="198">
        <v>6</v>
      </c>
      <c r="H105" s="198">
        <v>1.5</v>
      </c>
      <c r="I105" s="198">
        <v>6</v>
      </c>
      <c r="J105" s="198">
        <v>1.5</v>
      </c>
      <c r="K105" s="198">
        <v>5</v>
      </c>
      <c r="L105" s="198">
        <v>1.5</v>
      </c>
      <c r="M105" s="198">
        <v>2.5</v>
      </c>
      <c r="N105" s="198">
        <v>0</v>
      </c>
      <c r="O105" s="198">
        <v>0</v>
      </c>
      <c r="P105" s="197">
        <v>2024</v>
      </c>
      <c r="Q105" s="197" t="s">
        <v>121</v>
      </c>
      <c r="R105" s="197" t="s">
        <v>96</v>
      </c>
      <c r="S105" s="197" t="s">
        <v>97</v>
      </c>
    </row>
    <row r="106" spans="1:21" x14ac:dyDescent="0.25">
      <c r="A106" s="197">
        <v>1945</v>
      </c>
      <c r="B106" s="197" t="s">
        <v>128</v>
      </c>
      <c r="C106" s="197" t="s">
        <v>208</v>
      </c>
      <c r="D106" s="196">
        <v>50</v>
      </c>
      <c r="E106" s="196">
        <v>50</v>
      </c>
      <c r="F106" s="198">
        <v>1.5</v>
      </c>
      <c r="G106" s="198">
        <v>8</v>
      </c>
      <c r="H106" s="198">
        <v>1.5</v>
      </c>
      <c r="I106" s="198">
        <v>8</v>
      </c>
      <c r="J106" s="198">
        <v>1.5</v>
      </c>
      <c r="K106" s="198">
        <v>8</v>
      </c>
      <c r="L106" s="198">
        <v>1.5</v>
      </c>
      <c r="M106" s="198">
        <v>6</v>
      </c>
      <c r="N106" s="198">
        <v>1.5</v>
      </c>
      <c r="O106" s="198">
        <v>5</v>
      </c>
      <c r="P106" s="197">
        <v>2023</v>
      </c>
      <c r="Q106" s="197" t="s">
        <v>121</v>
      </c>
      <c r="R106" s="197" t="s">
        <v>96</v>
      </c>
      <c r="S106" s="197" t="s">
        <v>176</v>
      </c>
    </row>
    <row r="107" spans="1:21" x14ac:dyDescent="0.25">
      <c r="A107" s="197">
        <v>1737</v>
      </c>
      <c r="B107" s="197" t="s">
        <v>92</v>
      </c>
      <c r="C107" s="197" t="s">
        <v>209</v>
      </c>
      <c r="D107" s="196">
        <v>50</v>
      </c>
      <c r="E107" s="196" t="s">
        <v>94</v>
      </c>
      <c r="F107" s="198">
        <v>1.5</v>
      </c>
      <c r="G107" s="198">
        <v>7</v>
      </c>
      <c r="H107" s="198">
        <v>1.5</v>
      </c>
      <c r="I107" s="198">
        <v>5</v>
      </c>
      <c r="J107" s="198">
        <v>1.5</v>
      </c>
      <c r="K107" s="198">
        <v>2.5</v>
      </c>
      <c r="L107" s="198">
        <v>1.5</v>
      </c>
      <c r="M107" s="198">
        <v>1.5</v>
      </c>
      <c r="N107" s="198">
        <v>0</v>
      </c>
      <c r="O107" s="198">
        <v>0</v>
      </c>
      <c r="P107" s="197">
        <v>2023</v>
      </c>
      <c r="Q107" s="197" t="s">
        <v>95</v>
      </c>
      <c r="R107" s="197" t="s">
        <v>96</v>
      </c>
      <c r="S107" s="197" t="s">
        <v>97</v>
      </c>
    </row>
    <row r="108" spans="1:21" x14ac:dyDescent="0.25">
      <c r="A108" s="197">
        <v>1738</v>
      </c>
      <c r="B108" s="197" t="s">
        <v>92</v>
      </c>
      <c r="C108" s="197" t="s">
        <v>210</v>
      </c>
      <c r="D108" s="196">
        <v>50</v>
      </c>
      <c r="E108" s="196" t="s">
        <v>94</v>
      </c>
      <c r="F108" s="198">
        <v>1.5</v>
      </c>
      <c r="G108" s="198">
        <v>7</v>
      </c>
      <c r="H108" s="198">
        <v>1.5</v>
      </c>
      <c r="I108" s="198">
        <v>5</v>
      </c>
      <c r="J108" s="198">
        <v>1.5</v>
      </c>
      <c r="K108" s="198">
        <v>2.5</v>
      </c>
      <c r="L108" s="198">
        <v>1.5</v>
      </c>
      <c r="M108" s="198">
        <v>1.5</v>
      </c>
      <c r="N108" s="198">
        <v>0</v>
      </c>
      <c r="O108" s="198">
        <v>0</v>
      </c>
      <c r="P108" s="197">
        <v>2024</v>
      </c>
      <c r="Q108" s="197" t="s">
        <v>95</v>
      </c>
      <c r="R108" s="197" t="s">
        <v>96</v>
      </c>
      <c r="S108" s="197" t="s">
        <v>97</v>
      </c>
    </row>
    <row r="109" spans="1:21" x14ac:dyDescent="0.25">
      <c r="A109" s="197">
        <v>1739</v>
      </c>
      <c r="B109" s="197" t="s">
        <v>92</v>
      </c>
      <c r="C109" s="197" t="s">
        <v>211</v>
      </c>
      <c r="D109" s="196">
        <v>50</v>
      </c>
      <c r="E109" s="196" t="s">
        <v>94</v>
      </c>
      <c r="F109" s="198">
        <v>1.5</v>
      </c>
      <c r="G109" s="198">
        <v>7</v>
      </c>
      <c r="H109" s="198">
        <v>1.5</v>
      </c>
      <c r="I109" s="198">
        <v>5</v>
      </c>
      <c r="J109" s="198">
        <v>1.5</v>
      </c>
      <c r="K109" s="198">
        <v>3</v>
      </c>
      <c r="L109" s="198">
        <v>1.5</v>
      </c>
      <c r="M109" s="198">
        <v>2</v>
      </c>
      <c r="N109" s="198">
        <v>0</v>
      </c>
      <c r="O109" s="198">
        <v>0</v>
      </c>
      <c r="P109" s="197">
        <v>2024</v>
      </c>
      <c r="Q109" s="197" t="s">
        <v>95</v>
      </c>
      <c r="R109" s="197" t="s">
        <v>96</v>
      </c>
      <c r="S109" s="197" t="s">
        <v>97</v>
      </c>
    </row>
    <row r="110" spans="1:21" x14ac:dyDescent="0.25">
      <c r="A110" s="197">
        <v>1740</v>
      </c>
      <c r="B110" s="197" t="s">
        <v>92</v>
      </c>
      <c r="C110" s="197" t="s">
        <v>212</v>
      </c>
      <c r="D110" s="196">
        <v>50</v>
      </c>
      <c r="E110" s="196" t="s">
        <v>94</v>
      </c>
      <c r="F110" s="198">
        <v>1</v>
      </c>
      <c r="G110" s="198">
        <v>7</v>
      </c>
      <c r="H110" s="198">
        <v>1</v>
      </c>
      <c r="I110" s="198">
        <v>5</v>
      </c>
      <c r="J110" s="198">
        <v>1</v>
      </c>
      <c r="K110" s="198">
        <v>3</v>
      </c>
      <c r="L110" s="198">
        <v>1</v>
      </c>
      <c r="M110" s="198">
        <v>2</v>
      </c>
      <c r="N110" s="198">
        <v>0</v>
      </c>
      <c r="O110" s="198">
        <v>0</v>
      </c>
      <c r="P110" s="197">
        <v>2023</v>
      </c>
      <c r="Q110" s="197" t="s">
        <v>95</v>
      </c>
      <c r="R110" s="197" t="s">
        <v>96</v>
      </c>
      <c r="S110" s="197" t="s">
        <v>97</v>
      </c>
    </row>
    <row r="111" spans="1:21" x14ac:dyDescent="0.25">
      <c r="A111" s="197">
        <v>1947</v>
      </c>
      <c r="B111" s="197" t="s">
        <v>92</v>
      </c>
      <c r="C111" s="197" t="s">
        <v>213</v>
      </c>
      <c r="D111" s="196">
        <v>50</v>
      </c>
      <c r="E111" s="196">
        <v>50</v>
      </c>
      <c r="F111" s="198">
        <v>1</v>
      </c>
      <c r="G111" s="198">
        <v>7</v>
      </c>
      <c r="H111" s="198">
        <v>1</v>
      </c>
      <c r="I111" s="198">
        <v>7</v>
      </c>
      <c r="J111" s="198">
        <v>1</v>
      </c>
      <c r="K111" s="198">
        <v>4</v>
      </c>
      <c r="L111" s="198">
        <v>1</v>
      </c>
      <c r="M111" s="198">
        <v>3</v>
      </c>
      <c r="N111" s="198">
        <v>0</v>
      </c>
      <c r="O111" s="198">
        <v>0</v>
      </c>
      <c r="P111" s="197">
        <v>2025</v>
      </c>
      <c r="Q111" s="197" t="s">
        <v>95</v>
      </c>
      <c r="R111" s="197" t="s">
        <v>96</v>
      </c>
      <c r="S111" s="197" t="s">
        <v>97</v>
      </c>
    </row>
    <row r="112" spans="1:21" x14ac:dyDescent="0.25">
      <c r="A112" s="197">
        <v>2084</v>
      </c>
      <c r="B112" s="197" t="s">
        <v>92</v>
      </c>
      <c r="C112" s="197" t="s">
        <v>214</v>
      </c>
      <c r="D112" s="196">
        <v>50</v>
      </c>
      <c r="E112" s="196">
        <v>50</v>
      </c>
      <c r="F112" s="198">
        <v>1.5</v>
      </c>
      <c r="G112" s="198">
        <v>7</v>
      </c>
      <c r="H112" s="198">
        <v>1.5</v>
      </c>
      <c r="I112" s="198">
        <v>6</v>
      </c>
      <c r="J112" s="198">
        <v>1.5</v>
      </c>
      <c r="K112" s="198">
        <v>3</v>
      </c>
      <c r="L112" s="198">
        <v>1.5</v>
      </c>
      <c r="M112" s="198">
        <v>1.5</v>
      </c>
      <c r="N112" s="198">
        <v>0</v>
      </c>
      <c r="O112" s="198">
        <v>0</v>
      </c>
      <c r="P112" s="197">
        <v>2023</v>
      </c>
      <c r="Q112" s="197" t="s">
        <v>95</v>
      </c>
      <c r="R112" s="197" t="s">
        <v>96</v>
      </c>
      <c r="S112" s="197" t="s">
        <v>113</v>
      </c>
    </row>
    <row r="113" spans="1:20" x14ac:dyDescent="0.25">
      <c r="A113" s="197">
        <v>2048</v>
      </c>
      <c r="B113" s="197" t="s">
        <v>92</v>
      </c>
      <c r="C113" s="197" t="s">
        <v>215</v>
      </c>
      <c r="D113" s="196">
        <v>50</v>
      </c>
      <c r="E113" s="196">
        <v>50</v>
      </c>
      <c r="F113" s="198">
        <v>1.5</v>
      </c>
      <c r="G113" s="198">
        <v>7</v>
      </c>
      <c r="H113" s="198">
        <v>1.5</v>
      </c>
      <c r="I113" s="198">
        <v>5</v>
      </c>
      <c r="J113" s="198">
        <v>1.5</v>
      </c>
      <c r="K113" s="198">
        <v>3</v>
      </c>
      <c r="L113" s="198">
        <v>1.5</v>
      </c>
      <c r="M113" s="198">
        <v>1.5</v>
      </c>
      <c r="N113" s="198">
        <v>0</v>
      </c>
      <c r="O113" s="198">
        <v>0</v>
      </c>
      <c r="P113" s="197">
        <v>2023</v>
      </c>
      <c r="Q113" s="197" t="s">
        <v>95</v>
      </c>
      <c r="R113" s="197" t="s">
        <v>96</v>
      </c>
      <c r="S113" s="197" t="s">
        <v>113</v>
      </c>
    </row>
    <row r="114" spans="1:20" x14ac:dyDescent="0.25">
      <c r="A114" s="197">
        <v>2046</v>
      </c>
      <c r="B114" s="197" t="s">
        <v>92</v>
      </c>
      <c r="C114" s="197" t="s">
        <v>216</v>
      </c>
      <c r="D114" s="196">
        <v>50</v>
      </c>
      <c r="E114" s="196">
        <v>50</v>
      </c>
      <c r="F114" s="198">
        <v>1.5</v>
      </c>
      <c r="G114" s="198">
        <v>7</v>
      </c>
      <c r="H114" s="198">
        <v>1.5</v>
      </c>
      <c r="I114" s="198">
        <v>7</v>
      </c>
      <c r="J114" s="198">
        <v>1.5</v>
      </c>
      <c r="K114" s="198">
        <v>5</v>
      </c>
      <c r="L114" s="198">
        <v>1.5</v>
      </c>
      <c r="M114" s="198">
        <v>3</v>
      </c>
      <c r="N114" s="198">
        <v>0</v>
      </c>
      <c r="O114" s="198">
        <v>0</v>
      </c>
      <c r="P114" s="197">
        <v>2022</v>
      </c>
      <c r="Q114" s="197" t="s">
        <v>95</v>
      </c>
      <c r="R114" s="197" t="s">
        <v>96</v>
      </c>
      <c r="S114" s="197" t="s">
        <v>113</v>
      </c>
    </row>
    <row r="115" spans="1:20" x14ac:dyDescent="0.25">
      <c r="A115" s="197">
        <v>2047</v>
      </c>
      <c r="B115" s="197" t="s">
        <v>92</v>
      </c>
      <c r="C115" s="197" t="s">
        <v>217</v>
      </c>
      <c r="D115" s="196">
        <v>50</v>
      </c>
      <c r="E115" s="196">
        <v>50</v>
      </c>
      <c r="F115" s="198">
        <v>1.5</v>
      </c>
      <c r="G115" s="198">
        <v>7</v>
      </c>
      <c r="H115" s="198">
        <v>1.5</v>
      </c>
      <c r="I115" s="198">
        <v>7</v>
      </c>
      <c r="J115" s="198">
        <v>1.5</v>
      </c>
      <c r="K115" s="198">
        <v>4</v>
      </c>
      <c r="L115" s="198">
        <v>1.5</v>
      </c>
      <c r="M115" s="198">
        <v>3</v>
      </c>
      <c r="N115" s="198">
        <v>0</v>
      </c>
      <c r="O115" s="198">
        <v>0</v>
      </c>
      <c r="P115" s="197">
        <v>2022</v>
      </c>
      <c r="Q115" s="197" t="s">
        <v>95</v>
      </c>
      <c r="R115" s="197" t="s">
        <v>96</v>
      </c>
      <c r="S115" s="197" t="s">
        <v>113</v>
      </c>
    </row>
    <row r="116" spans="1:20" x14ac:dyDescent="0.25">
      <c r="A116" s="197">
        <v>2081</v>
      </c>
      <c r="B116" s="197" t="s">
        <v>92</v>
      </c>
      <c r="C116" s="197" t="s">
        <v>218</v>
      </c>
      <c r="D116" s="196">
        <v>50</v>
      </c>
      <c r="E116" s="196">
        <v>50</v>
      </c>
      <c r="F116" s="198">
        <v>1.5</v>
      </c>
      <c r="G116" s="198">
        <v>7</v>
      </c>
      <c r="H116" s="198">
        <v>1.5</v>
      </c>
      <c r="I116" s="198">
        <v>7</v>
      </c>
      <c r="J116" s="198">
        <v>1.5</v>
      </c>
      <c r="K116" s="198">
        <v>3.5</v>
      </c>
      <c r="L116" s="198">
        <v>1.5</v>
      </c>
      <c r="M116" s="198">
        <v>2</v>
      </c>
      <c r="N116" s="198">
        <v>0</v>
      </c>
      <c r="O116" s="198">
        <v>0</v>
      </c>
      <c r="P116" s="197">
        <v>2023</v>
      </c>
      <c r="Q116" s="197" t="s">
        <v>95</v>
      </c>
      <c r="R116" s="197" t="s">
        <v>96</v>
      </c>
      <c r="S116" s="197" t="s">
        <v>113</v>
      </c>
    </row>
    <row r="117" spans="1:20" x14ac:dyDescent="0.25">
      <c r="A117" s="197">
        <v>1896</v>
      </c>
      <c r="B117" s="197" t="s">
        <v>98</v>
      </c>
      <c r="C117" s="197" t="s">
        <v>103</v>
      </c>
      <c r="D117" s="196">
        <v>50</v>
      </c>
      <c r="E117" s="196">
        <v>50</v>
      </c>
      <c r="F117" s="198">
        <v>2.5</v>
      </c>
      <c r="G117" s="198">
        <v>8</v>
      </c>
      <c r="H117" s="198">
        <v>2.5</v>
      </c>
      <c r="I117" s="198">
        <v>6</v>
      </c>
      <c r="J117" s="198">
        <v>2.5</v>
      </c>
      <c r="K117" s="198">
        <v>3.5</v>
      </c>
      <c r="L117" s="198">
        <v>2.5</v>
      </c>
      <c r="M117" s="198">
        <v>2.5</v>
      </c>
      <c r="N117" s="198">
        <v>0</v>
      </c>
      <c r="O117" s="198">
        <v>0</v>
      </c>
      <c r="P117" s="197">
        <v>2023</v>
      </c>
      <c r="Q117" s="197" t="s">
        <v>95</v>
      </c>
      <c r="R117" s="197" t="s">
        <v>96</v>
      </c>
      <c r="S117" s="197" t="s">
        <v>113</v>
      </c>
    </row>
    <row r="118" spans="1:20" x14ac:dyDescent="0.25">
      <c r="A118" s="197">
        <v>1821</v>
      </c>
      <c r="B118" s="197" t="s">
        <v>98</v>
      </c>
      <c r="C118" s="197" t="s">
        <v>107</v>
      </c>
      <c r="D118" s="196">
        <v>50</v>
      </c>
      <c r="E118" s="196">
        <v>50</v>
      </c>
      <c r="F118" s="198">
        <v>2</v>
      </c>
      <c r="G118" s="198">
        <v>8</v>
      </c>
      <c r="H118" s="198">
        <v>2</v>
      </c>
      <c r="I118" s="198">
        <v>6</v>
      </c>
      <c r="J118" s="198">
        <v>2</v>
      </c>
      <c r="K118" s="198">
        <v>3</v>
      </c>
      <c r="L118" s="198">
        <v>2</v>
      </c>
      <c r="M118" s="198">
        <v>2</v>
      </c>
      <c r="N118" s="198">
        <v>0</v>
      </c>
      <c r="O118" s="198">
        <v>0</v>
      </c>
      <c r="P118" s="197">
        <v>2027</v>
      </c>
      <c r="Q118" s="197" t="s">
        <v>95</v>
      </c>
      <c r="R118" s="197" t="s">
        <v>96</v>
      </c>
      <c r="S118" s="197" t="s">
        <v>113</v>
      </c>
    </row>
    <row r="119" spans="1:20" x14ac:dyDescent="0.25">
      <c r="A119" s="197">
        <v>1779</v>
      </c>
      <c r="B119" s="197" t="s">
        <v>202</v>
      </c>
      <c r="C119" s="197" t="s">
        <v>219</v>
      </c>
      <c r="D119" s="196">
        <v>50</v>
      </c>
      <c r="E119" s="196">
        <v>50</v>
      </c>
      <c r="F119" s="198">
        <v>2.5</v>
      </c>
      <c r="G119" s="198">
        <v>8</v>
      </c>
      <c r="H119" s="198">
        <v>2.5</v>
      </c>
      <c r="I119" s="198">
        <v>8</v>
      </c>
      <c r="J119" s="198">
        <v>2.5</v>
      </c>
      <c r="K119" s="198">
        <v>8</v>
      </c>
      <c r="L119" s="198">
        <v>2.5</v>
      </c>
      <c r="M119" s="198">
        <v>2.5</v>
      </c>
      <c r="N119" s="198">
        <v>0</v>
      </c>
      <c r="O119" s="198">
        <v>0</v>
      </c>
      <c r="P119" s="197">
        <v>2026</v>
      </c>
      <c r="Q119" s="197" t="s">
        <v>95</v>
      </c>
      <c r="R119" s="197" t="s">
        <v>96</v>
      </c>
      <c r="S119" s="197" t="s">
        <v>97</v>
      </c>
    </row>
    <row r="120" spans="1:20" x14ac:dyDescent="0.25">
      <c r="A120" s="197">
        <v>1780</v>
      </c>
      <c r="B120" s="197" t="s">
        <v>202</v>
      </c>
      <c r="C120" s="197" t="s">
        <v>220</v>
      </c>
      <c r="D120" s="196">
        <v>50</v>
      </c>
      <c r="E120" s="196">
        <v>50</v>
      </c>
      <c r="F120" s="198">
        <v>2.5</v>
      </c>
      <c r="G120" s="198">
        <v>8</v>
      </c>
      <c r="H120" s="198">
        <v>2.5</v>
      </c>
      <c r="I120" s="198">
        <v>8</v>
      </c>
      <c r="J120" s="198">
        <v>2.5</v>
      </c>
      <c r="K120" s="198">
        <v>8</v>
      </c>
      <c r="L120" s="198">
        <v>2.5</v>
      </c>
      <c r="M120" s="198">
        <v>8</v>
      </c>
      <c r="N120" s="198">
        <v>0</v>
      </c>
      <c r="O120" s="198">
        <v>0</v>
      </c>
      <c r="P120" s="197">
        <v>2026</v>
      </c>
      <c r="Q120" s="197" t="s">
        <v>95</v>
      </c>
      <c r="R120" s="197" t="s">
        <v>96</v>
      </c>
      <c r="S120" s="197" t="s">
        <v>97</v>
      </c>
    </row>
    <row r="121" spans="1:20" x14ac:dyDescent="0.25">
      <c r="A121" s="197">
        <v>2185</v>
      </c>
      <c r="B121" s="197" t="s">
        <v>221</v>
      </c>
      <c r="C121" s="197" t="s">
        <v>222</v>
      </c>
      <c r="D121" s="196">
        <v>50</v>
      </c>
      <c r="E121" s="196">
        <v>50</v>
      </c>
      <c r="F121" s="198">
        <v>2</v>
      </c>
      <c r="G121" s="198">
        <v>6</v>
      </c>
      <c r="H121" s="198">
        <v>2</v>
      </c>
      <c r="I121" s="198">
        <v>6</v>
      </c>
      <c r="J121" s="198">
        <v>2</v>
      </c>
      <c r="K121" s="198">
        <v>4</v>
      </c>
      <c r="L121" s="198">
        <v>2</v>
      </c>
      <c r="M121" s="198">
        <v>2</v>
      </c>
      <c r="N121" s="198">
        <v>0</v>
      </c>
      <c r="O121" s="198">
        <v>0</v>
      </c>
      <c r="P121" s="197">
        <v>2026</v>
      </c>
      <c r="Q121" s="197" t="s">
        <v>95</v>
      </c>
      <c r="R121" s="197" t="s">
        <v>96</v>
      </c>
      <c r="S121" s="197" t="s">
        <v>97</v>
      </c>
    </row>
    <row r="122" spans="1:20" x14ac:dyDescent="0.25">
      <c r="A122" s="197">
        <v>2189</v>
      </c>
      <c r="B122" s="197" t="s">
        <v>221</v>
      </c>
      <c r="C122" s="197" t="s">
        <v>223</v>
      </c>
      <c r="D122" s="196">
        <v>50</v>
      </c>
      <c r="E122" s="196">
        <v>50</v>
      </c>
      <c r="F122" s="198">
        <v>2</v>
      </c>
      <c r="G122" s="198">
        <v>6</v>
      </c>
      <c r="H122" s="198">
        <v>2</v>
      </c>
      <c r="I122" s="198">
        <v>6</v>
      </c>
      <c r="J122" s="198">
        <v>2</v>
      </c>
      <c r="K122" s="198">
        <v>6</v>
      </c>
      <c r="L122" s="198">
        <v>2</v>
      </c>
      <c r="M122" s="198">
        <v>3</v>
      </c>
      <c r="N122" s="198">
        <v>0</v>
      </c>
      <c r="O122" s="198">
        <v>0</v>
      </c>
      <c r="P122" s="197">
        <v>2026</v>
      </c>
      <c r="Q122" s="197" t="s">
        <v>95</v>
      </c>
      <c r="R122" s="197" t="s">
        <v>96</v>
      </c>
      <c r="S122" s="197" t="s">
        <v>97</v>
      </c>
    </row>
    <row r="123" spans="1:20" x14ac:dyDescent="0.25">
      <c r="A123" s="197">
        <v>1933</v>
      </c>
      <c r="B123" s="197" t="s">
        <v>128</v>
      </c>
      <c r="C123" s="197" t="s">
        <v>153</v>
      </c>
      <c r="D123" s="196">
        <v>50</v>
      </c>
      <c r="E123" s="196">
        <v>50</v>
      </c>
      <c r="F123" s="198">
        <v>1</v>
      </c>
      <c r="G123" s="198">
        <v>6</v>
      </c>
      <c r="H123" s="198">
        <v>1</v>
      </c>
      <c r="I123" s="198">
        <v>2</v>
      </c>
      <c r="J123" s="198">
        <v>1</v>
      </c>
      <c r="K123" s="198">
        <v>1.5</v>
      </c>
      <c r="L123" s="198">
        <v>1</v>
      </c>
      <c r="M123" s="198">
        <v>1</v>
      </c>
      <c r="N123" s="198">
        <v>0</v>
      </c>
      <c r="O123" s="198">
        <v>0</v>
      </c>
      <c r="P123" s="197">
        <v>2023</v>
      </c>
      <c r="Q123" s="197" t="s">
        <v>100</v>
      </c>
      <c r="R123" s="197" t="s">
        <v>96</v>
      </c>
      <c r="S123" s="197" t="s">
        <v>163</v>
      </c>
      <c r="T123" s="197" t="s">
        <v>149</v>
      </c>
    </row>
    <row r="124" spans="1:20" x14ac:dyDescent="0.25">
      <c r="A124" s="197">
        <v>1932</v>
      </c>
      <c r="B124" s="197" t="s">
        <v>128</v>
      </c>
      <c r="C124" s="197" t="s">
        <v>151</v>
      </c>
      <c r="D124" s="196">
        <v>50</v>
      </c>
      <c r="E124" s="196">
        <v>50</v>
      </c>
      <c r="F124" s="198">
        <v>1</v>
      </c>
      <c r="G124" s="198">
        <v>6</v>
      </c>
      <c r="H124" s="198">
        <v>1</v>
      </c>
      <c r="I124" s="198">
        <v>3</v>
      </c>
      <c r="J124" s="198">
        <v>1</v>
      </c>
      <c r="K124" s="198">
        <v>1.5</v>
      </c>
      <c r="L124" s="198">
        <v>1</v>
      </c>
      <c r="M124" s="198">
        <v>1</v>
      </c>
      <c r="N124" s="198">
        <v>0</v>
      </c>
      <c r="O124" s="198">
        <v>0</v>
      </c>
      <c r="P124" s="197">
        <v>2023</v>
      </c>
      <c r="Q124" s="197" t="s">
        <v>100</v>
      </c>
      <c r="R124" s="197" t="s">
        <v>96</v>
      </c>
      <c r="S124" s="197" t="s">
        <v>163</v>
      </c>
      <c r="T124" s="197" t="s">
        <v>148</v>
      </c>
    </row>
    <row r="125" spans="1:20" x14ac:dyDescent="0.25">
      <c r="A125" s="197">
        <v>1934</v>
      </c>
      <c r="B125" s="197" t="s">
        <v>128</v>
      </c>
      <c r="C125" s="197" t="s">
        <v>155</v>
      </c>
      <c r="D125" s="196">
        <v>50</v>
      </c>
      <c r="E125" s="196">
        <v>50</v>
      </c>
      <c r="F125" s="198">
        <v>1</v>
      </c>
      <c r="G125" s="198">
        <v>6</v>
      </c>
      <c r="H125" s="198">
        <v>1</v>
      </c>
      <c r="I125" s="198">
        <v>3</v>
      </c>
      <c r="J125" s="198">
        <v>1</v>
      </c>
      <c r="K125" s="198">
        <v>1.5</v>
      </c>
      <c r="L125" s="198">
        <v>1</v>
      </c>
      <c r="M125" s="198">
        <v>1</v>
      </c>
      <c r="N125" s="198">
        <v>0</v>
      </c>
      <c r="O125" s="198">
        <v>0</v>
      </c>
      <c r="P125" s="197">
        <v>2023</v>
      </c>
      <c r="Q125" s="197" t="s">
        <v>100</v>
      </c>
      <c r="R125" s="197" t="s">
        <v>96</v>
      </c>
      <c r="S125" s="197" t="s">
        <v>163</v>
      </c>
      <c r="T125" s="197" t="s">
        <v>142</v>
      </c>
    </row>
    <row r="126" spans="1:20" x14ac:dyDescent="0.25">
      <c r="A126" s="197">
        <v>1937</v>
      </c>
      <c r="B126" s="197" t="s">
        <v>128</v>
      </c>
      <c r="C126" s="197" t="s">
        <v>157</v>
      </c>
      <c r="D126" s="196">
        <v>50</v>
      </c>
      <c r="E126" s="196">
        <v>50</v>
      </c>
      <c r="F126" s="198">
        <v>1</v>
      </c>
      <c r="G126" s="198">
        <v>6</v>
      </c>
      <c r="H126" s="198">
        <v>1</v>
      </c>
      <c r="I126" s="198">
        <v>6</v>
      </c>
      <c r="J126" s="198">
        <v>1</v>
      </c>
      <c r="K126" s="198">
        <v>2</v>
      </c>
      <c r="L126" s="198">
        <v>1</v>
      </c>
      <c r="M126" s="198">
        <v>1</v>
      </c>
      <c r="N126" s="198">
        <v>0</v>
      </c>
      <c r="O126" s="198">
        <v>0</v>
      </c>
      <c r="P126" s="197">
        <v>2023</v>
      </c>
      <c r="Q126" s="197" t="s">
        <v>100</v>
      </c>
      <c r="R126" s="197" t="s">
        <v>96</v>
      </c>
      <c r="S126" s="197" t="s">
        <v>163</v>
      </c>
      <c r="T126" s="197" t="s">
        <v>143</v>
      </c>
    </row>
    <row r="127" spans="1:20" x14ac:dyDescent="0.25">
      <c r="A127" s="197">
        <v>2049</v>
      </c>
      <c r="B127" s="197" t="s">
        <v>92</v>
      </c>
      <c r="C127" s="197" t="s">
        <v>224</v>
      </c>
      <c r="D127" s="196"/>
      <c r="E127" s="196"/>
      <c r="F127" s="198"/>
      <c r="G127" s="198"/>
      <c r="H127" s="198"/>
      <c r="I127" s="198"/>
      <c r="J127" s="198"/>
      <c r="K127" s="198"/>
      <c r="L127" s="198"/>
      <c r="M127" s="198"/>
      <c r="N127" s="198"/>
      <c r="O127" s="198"/>
      <c r="P127" s="197">
        <v>2024</v>
      </c>
      <c r="R127" s="197" t="s">
        <v>96</v>
      </c>
      <c r="S127" s="197" t="s">
        <v>225</v>
      </c>
    </row>
    <row r="128" spans="1:20" x14ac:dyDescent="0.25">
      <c r="A128" s="197">
        <v>2156</v>
      </c>
      <c r="B128" s="197" t="s">
        <v>172</v>
      </c>
      <c r="C128" s="197" t="s">
        <v>226</v>
      </c>
      <c r="D128" s="196"/>
      <c r="E128" s="196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7">
        <v>2025</v>
      </c>
      <c r="R128" s="197" t="s">
        <v>96</v>
      </c>
      <c r="S128" s="197" t="s">
        <v>225</v>
      </c>
    </row>
    <row r="129" spans="1:19" x14ac:dyDescent="0.25">
      <c r="A129" s="197">
        <v>2193</v>
      </c>
      <c r="B129" s="197" t="s">
        <v>227</v>
      </c>
      <c r="C129" s="197" t="s">
        <v>228</v>
      </c>
      <c r="D129" s="196"/>
      <c r="E129" s="196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7">
        <v>2026</v>
      </c>
      <c r="R129" s="197" t="s">
        <v>96</v>
      </c>
      <c r="S129" s="197" t="s">
        <v>225</v>
      </c>
    </row>
    <row r="130" spans="1:19" x14ac:dyDescent="0.25">
      <c r="D130" s="196"/>
      <c r="E130" s="196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</row>
    <row r="131" spans="1:19" x14ac:dyDescent="0.25">
      <c r="D131" s="196"/>
      <c r="E131" s="196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</row>
    <row r="132" spans="1:19" x14ac:dyDescent="0.25">
      <c r="D132" s="196"/>
      <c r="E132" s="196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</row>
    <row r="133" spans="1:19" x14ac:dyDescent="0.25">
      <c r="D133" s="196"/>
      <c r="E133" s="196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</row>
    <row r="134" spans="1:19" x14ac:dyDescent="0.25">
      <c r="D134" s="196"/>
      <c r="E134" s="196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</row>
    <row r="135" spans="1:19" x14ac:dyDescent="0.25">
      <c r="D135" s="196"/>
      <c r="E135" s="196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</row>
    <row r="136" spans="1:19" x14ac:dyDescent="0.25">
      <c r="D136" s="196"/>
      <c r="E136" s="196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</row>
    <row r="137" spans="1:19" x14ac:dyDescent="0.25">
      <c r="D137" s="196"/>
      <c r="E137" s="196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</row>
    <row r="138" spans="1:19" x14ac:dyDescent="0.25">
      <c r="D138" s="196"/>
      <c r="E138" s="196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</row>
    <row r="139" spans="1:19" x14ac:dyDescent="0.25">
      <c r="D139" s="196"/>
      <c r="E139" s="196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</row>
    <row r="140" spans="1:19" x14ac:dyDescent="0.25">
      <c r="D140" s="196"/>
      <c r="E140" s="196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</row>
    <row r="141" spans="1:19" x14ac:dyDescent="0.25">
      <c r="D141" s="196"/>
      <c r="E141" s="196"/>
      <c r="F141" s="198"/>
      <c r="G141" s="198"/>
      <c r="H141" s="198"/>
      <c r="I141" s="198"/>
      <c r="J141" s="198"/>
      <c r="K141" s="198"/>
      <c r="L141" s="198"/>
      <c r="M141" s="198"/>
      <c r="N141" s="198"/>
      <c r="O141" s="198"/>
    </row>
    <row r="142" spans="1:19" x14ac:dyDescent="0.25">
      <c r="D142" s="196"/>
      <c r="E142" s="196"/>
      <c r="F142" s="198"/>
      <c r="G142" s="198"/>
      <c r="H142" s="198"/>
      <c r="I142" s="198"/>
      <c r="J142" s="198"/>
      <c r="K142" s="198"/>
      <c r="L142" s="198"/>
      <c r="M142" s="198"/>
      <c r="N142" s="198"/>
      <c r="O142" s="198"/>
    </row>
    <row r="143" spans="1:19" x14ac:dyDescent="0.25">
      <c r="D143" s="196"/>
      <c r="E143" s="196"/>
      <c r="F143" s="198"/>
      <c r="G143" s="198"/>
      <c r="H143" s="198"/>
      <c r="I143" s="198"/>
      <c r="J143" s="198"/>
      <c r="K143" s="198"/>
      <c r="L143" s="198"/>
      <c r="M143" s="198"/>
      <c r="N143" s="198"/>
      <c r="O143" s="198"/>
    </row>
    <row r="144" spans="1:19" x14ac:dyDescent="0.25">
      <c r="D144" s="196"/>
      <c r="E144" s="196"/>
      <c r="F144" s="198"/>
      <c r="G144" s="198"/>
      <c r="H144" s="198"/>
      <c r="I144" s="198"/>
      <c r="J144" s="198"/>
      <c r="K144" s="198"/>
      <c r="L144" s="198"/>
      <c r="M144" s="198"/>
      <c r="N144" s="198"/>
      <c r="O144" s="198"/>
    </row>
    <row r="145" spans="4:15" x14ac:dyDescent="0.25">
      <c r="D145" s="196"/>
      <c r="E145" s="196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</row>
    <row r="146" spans="4:15" x14ac:dyDescent="0.25">
      <c r="D146" s="196"/>
      <c r="E146" s="196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</row>
    <row r="147" spans="4:15" x14ac:dyDescent="0.25">
      <c r="D147" s="196"/>
      <c r="E147" s="196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</row>
    <row r="148" spans="4:15" x14ac:dyDescent="0.25">
      <c r="D148" s="196"/>
      <c r="E148" s="196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</row>
    <row r="149" spans="4:15" x14ac:dyDescent="0.25">
      <c r="D149" s="196"/>
      <c r="E149" s="196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</row>
    <row r="150" spans="4:15" x14ac:dyDescent="0.25">
      <c r="D150" s="196"/>
      <c r="E150" s="196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</row>
    <row r="151" spans="4:15" x14ac:dyDescent="0.25">
      <c r="D151" s="196"/>
      <c r="E151" s="196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</row>
    <row r="152" spans="4:15" x14ac:dyDescent="0.25">
      <c r="D152" s="196"/>
      <c r="E152" s="196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</row>
    <row r="153" spans="4:15" x14ac:dyDescent="0.25">
      <c r="D153" s="196"/>
      <c r="E153" s="196"/>
      <c r="F153" s="198"/>
      <c r="G153" s="198"/>
      <c r="H153" s="198"/>
      <c r="I153" s="198"/>
      <c r="J153" s="198"/>
      <c r="K153" s="198"/>
      <c r="L153" s="198"/>
      <c r="M153" s="198"/>
      <c r="N153" s="198"/>
      <c r="O153" s="198"/>
    </row>
    <row r="154" spans="4:15" x14ac:dyDescent="0.25">
      <c r="D154" s="196"/>
      <c r="E154" s="196"/>
      <c r="F154" s="198"/>
      <c r="G154" s="198"/>
      <c r="H154" s="198"/>
      <c r="I154" s="198"/>
      <c r="J154" s="198"/>
      <c r="K154" s="198"/>
      <c r="L154" s="198"/>
      <c r="M154" s="198"/>
      <c r="N154" s="198"/>
      <c r="O154" s="198"/>
    </row>
    <row r="155" spans="4:15" x14ac:dyDescent="0.25">
      <c r="D155" s="196"/>
      <c r="E155" s="196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</row>
    <row r="156" spans="4:15" x14ac:dyDescent="0.25">
      <c r="D156" s="196"/>
      <c r="E156" s="196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</row>
    <row r="157" spans="4:15" x14ac:dyDescent="0.25">
      <c r="D157" s="196"/>
      <c r="E157" s="196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</row>
    <row r="158" spans="4:15" x14ac:dyDescent="0.25">
      <c r="D158" s="196"/>
      <c r="E158" s="196"/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</row>
    <row r="159" spans="4:15" x14ac:dyDescent="0.25">
      <c r="D159" s="196"/>
      <c r="E159" s="196"/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</row>
    <row r="160" spans="4:15" x14ac:dyDescent="0.25">
      <c r="D160" s="196"/>
      <c r="E160" s="196"/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</row>
    <row r="161" spans="4:15" x14ac:dyDescent="0.25">
      <c r="D161" s="196"/>
      <c r="E161" s="196"/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</row>
    <row r="162" spans="4:15" x14ac:dyDescent="0.25">
      <c r="D162" s="196"/>
      <c r="E162" s="196"/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</row>
    <row r="163" spans="4:15" x14ac:dyDescent="0.25">
      <c r="D163" s="196"/>
      <c r="E163" s="196"/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</row>
    <row r="164" spans="4:15" x14ac:dyDescent="0.25">
      <c r="D164" s="196"/>
      <c r="E164" s="196"/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</row>
    <row r="165" spans="4:15" x14ac:dyDescent="0.25">
      <c r="D165" s="196"/>
      <c r="E165" s="196"/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</row>
    <row r="166" spans="4:15" x14ac:dyDescent="0.25">
      <c r="D166" s="196"/>
      <c r="E166" s="196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</row>
    <row r="167" spans="4:15" x14ac:dyDescent="0.25">
      <c r="D167" s="196"/>
      <c r="E167" s="196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</row>
    <row r="168" spans="4:15" x14ac:dyDescent="0.25">
      <c r="D168" s="196"/>
      <c r="E168" s="196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</row>
    <row r="169" spans="4:15" x14ac:dyDescent="0.25">
      <c r="D169" s="196"/>
      <c r="E169" s="196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</row>
    <row r="170" spans="4:15" x14ac:dyDescent="0.25">
      <c r="D170" s="196"/>
      <c r="E170" s="196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</row>
    <row r="171" spans="4:15" x14ac:dyDescent="0.25">
      <c r="D171" s="196"/>
      <c r="E171" s="196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</row>
    <row r="172" spans="4:15" x14ac:dyDescent="0.25">
      <c r="D172" s="196"/>
      <c r="E172" s="196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</row>
    <row r="173" spans="4:15" x14ac:dyDescent="0.25">
      <c r="D173" s="196"/>
      <c r="E173" s="196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</row>
    <row r="174" spans="4:15" x14ac:dyDescent="0.25">
      <c r="D174" s="196"/>
      <c r="E174" s="196"/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</row>
    <row r="175" spans="4:15" x14ac:dyDescent="0.25">
      <c r="D175" s="196"/>
      <c r="E175" s="196"/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</row>
    <row r="176" spans="4:15" x14ac:dyDescent="0.25">
      <c r="D176" s="196"/>
      <c r="E176" s="196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</row>
    <row r="177" spans="4:15" x14ac:dyDescent="0.25">
      <c r="D177" s="196"/>
      <c r="E177" s="196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</row>
    <row r="178" spans="4:15" x14ac:dyDescent="0.25">
      <c r="D178" s="196"/>
      <c r="E178" s="196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</row>
    <row r="179" spans="4:15" x14ac:dyDescent="0.25">
      <c r="D179" s="196"/>
      <c r="E179" s="196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</row>
    <row r="180" spans="4:15" x14ac:dyDescent="0.25">
      <c r="D180" s="196"/>
      <c r="E180" s="196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</row>
    <row r="181" spans="4:15" x14ac:dyDescent="0.25">
      <c r="D181" s="196"/>
      <c r="E181" s="196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</row>
    <row r="182" spans="4:15" x14ac:dyDescent="0.25">
      <c r="D182" s="196"/>
      <c r="E182" s="196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</row>
    <row r="183" spans="4:15" x14ac:dyDescent="0.25">
      <c r="D183" s="196"/>
      <c r="E183" s="196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</row>
    <row r="184" spans="4:15" x14ac:dyDescent="0.25">
      <c r="D184" s="196"/>
      <c r="E184" s="196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</row>
    <row r="185" spans="4:15" x14ac:dyDescent="0.25">
      <c r="D185" s="196"/>
      <c r="E185" s="196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</row>
    <row r="186" spans="4:15" x14ac:dyDescent="0.25">
      <c r="D186" s="196"/>
      <c r="E186" s="196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</row>
    <row r="187" spans="4:15" x14ac:dyDescent="0.25">
      <c r="D187" s="196"/>
      <c r="E187" s="196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</row>
    <row r="188" spans="4:15" x14ac:dyDescent="0.25">
      <c r="D188" s="196"/>
      <c r="E188" s="196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</row>
    <row r="189" spans="4:15" x14ac:dyDescent="0.25">
      <c r="D189" s="196"/>
      <c r="E189" s="196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</row>
    <row r="190" spans="4:15" x14ac:dyDescent="0.25">
      <c r="D190" s="196"/>
      <c r="E190" s="196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</row>
    <row r="191" spans="4:15" x14ac:dyDescent="0.25">
      <c r="D191" s="196"/>
      <c r="E191" s="196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</row>
    <row r="192" spans="4:15" x14ac:dyDescent="0.25">
      <c r="D192" s="196"/>
      <c r="E192" s="196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</row>
    <row r="193" spans="4:15" x14ac:dyDescent="0.25">
      <c r="D193" s="196"/>
      <c r="E193" s="196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</row>
    <row r="194" spans="4:15" x14ac:dyDescent="0.25">
      <c r="D194" s="196"/>
      <c r="E194" s="196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</row>
    <row r="195" spans="4:15" x14ac:dyDescent="0.25">
      <c r="D195" s="196"/>
      <c r="E195" s="196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4:15" x14ac:dyDescent="0.25">
      <c r="D196" s="196"/>
      <c r="E196" s="196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4:15" x14ac:dyDescent="0.25">
      <c r="D197" s="196"/>
      <c r="E197" s="196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4:15" x14ac:dyDescent="0.25">
      <c r="D198" s="196"/>
      <c r="E198" s="196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</row>
    <row r="199" spans="4:15" x14ac:dyDescent="0.25">
      <c r="D199" s="196"/>
      <c r="E199" s="196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</row>
    <row r="200" spans="4:15" x14ac:dyDescent="0.25">
      <c r="D200" s="196"/>
      <c r="E200" s="196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</row>
    <row r="201" spans="4:15" x14ac:dyDescent="0.25">
      <c r="D201" s="196"/>
      <c r="E201" s="196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</row>
    <row r="202" spans="4:15" x14ac:dyDescent="0.25">
      <c r="D202" s="196"/>
      <c r="E202" s="196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</row>
    <row r="203" spans="4:15" x14ac:dyDescent="0.25">
      <c r="D203" s="196"/>
      <c r="E203" s="196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</row>
    <row r="204" spans="4:15" x14ac:dyDescent="0.25">
      <c r="D204" s="196"/>
      <c r="E204" s="196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</row>
    <row r="205" spans="4:15" x14ac:dyDescent="0.25">
      <c r="D205" s="196"/>
      <c r="E205" s="196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</row>
    <row r="206" spans="4:15" x14ac:dyDescent="0.25">
      <c r="D206" s="196"/>
      <c r="E206" s="196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</row>
    <row r="207" spans="4:15" x14ac:dyDescent="0.25">
      <c r="D207" s="196"/>
      <c r="E207" s="196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</row>
    <row r="208" spans="4:15" x14ac:dyDescent="0.25">
      <c r="D208" s="196"/>
      <c r="E208" s="196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</row>
    <row r="209" spans="4:15" x14ac:dyDescent="0.25">
      <c r="D209" s="196"/>
      <c r="E209" s="196"/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</row>
    <row r="210" spans="4:15" x14ac:dyDescent="0.25">
      <c r="D210" s="196"/>
      <c r="E210" s="196"/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</row>
    <row r="211" spans="4:15" x14ac:dyDescent="0.25">
      <c r="D211" s="196"/>
      <c r="E211" s="196"/>
      <c r="F211" s="198"/>
      <c r="G211" s="198"/>
      <c r="H211" s="198"/>
      <c r="I211" s="198"/>
      <c r="J211" s="198"/>
      <c r="K211" s="198"/>
      <c r="L211" s="198"/>
      <c r="M211" s="198"/>
      <c r="N211" s="198"/>
      <c r="O211" s="198"/>
    </row>
    <row r="212" spans="4:15" x14ac:dyDescent="0.25">
      <c r="D212" s="196"/>
      <c r="E212" s="196"/>
      <c r="F212" s="198"/>
      <c r="G212" s="198"/>
      <c r="H212" s="198"/>
      <c r="I212" s="198"/>
      <c r="J212" s="198"/>
      <c r="K212" s="198"/>
      <c r="L212" s="198"/>
      <c r="M212" s="198"/>
      <c r="N212" s="198"/>
      <c r="O212" s="198"/>
    </row>
    <row r="213" spans="4:15" x14ac:dyDescent="0.25">
      <c r="D213" s="196"/>
      <c r="E213" s="196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</row>
    <row r="214" spans="4:15" x14ac:dyDescent="0.25">
      <c r="D214" s="196"/>
      <c r="E214" s="196"/>
      <c r="F214" s="198"/>
      <c r="G214" s="198"/>
      <c r="H214" s="198"/>
      <c r="I214" s="198"/>
      <c r="J214" s="198"/>
      <c r="K214" s="198"/>
      <c r="L214" s="198"/>
      <c r="M214" s="198"/>
      <c r="N214" s="198"/>
      <c r="O214" s="198"/>
    </row>
    <row r="215" spans="4:15" x14ac:dyDescent="0.25">
      <c r="D215" s="196"/>
      <c r="E215" s="196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</row>
    <row r="216" spans="4:15" x14ac:dyDescent="0.25">
      <c r="D216" s="196"/>
      <c r="E216" s="196"/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</row>
    <row r="217" spans="4:15" x14ac:dyDescent="0.25">
      <c r="D217" s="196"/>
      <c r="E217" s="196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</row>
    <row r="218" spans="4:15" x14ac:dyDescent="0.25">
      <c r="D218" s="196"/>
      <c r="E218" s="196"/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</row>
    <row r="219" spans="4:15" x14ac:dyDescent="0.25">
      <c r="D219" s="196"/>
      <c r="E219" s="196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</row>
    <row r="220" spans="4:15" x14ac:dyDescent="0.25">
      <c r="D220" s="196"/>
      <c r="E220" s="196"/>
      <c r="F220" s="198"/>
      <c r="G220" s="198"/>
      <c r="H220" s="198"/>
      <c r="I220" s="198"/>
      <c r="J220" s="198"/>
      <c r="K220" s="198"/>
      <c r="L220" s="198"/>
      <c r="M220" s="198"/>
      <c r="N220" s="198"/>
      <c r="O220" s="198"/>
    </row>
    <row r="221" spans="4:15" x14ac:dyDescent="0.25">
      <c r="D221" s="196"/>
      <c r="E221" s="196"/>
      <c r="F221" s="198"/>
      <c r="G221" s="198"/>
      <c r="H221" s="198"/>
      <c r="I221" s="198"/>
      <c r="J221" s="198"/>
      <c r="K221" s="198"/>
      <c r="L221" s="198"/>
      <c r="M221" s="198"/>
      <c r="N221" s="198"/>
      <c r="O221" s="198"/>
    </row>
    <row r="222" spans="4:15" x14ac:dyDescent="0.25">
      <c r="D222" s="196"/>
      <c r="E222" s="196"/>
      <c r="F222" s="198"/>
      <c r="G222" s="198"/>
      <c r="H222" s="198"/>
      <c r="I222" s="198"/>
      <c r="J222" s="198"/>
      <c r="K222" s="198"/>
      <c r="L222" s="198"/>
      <c r="M222" s="198"/>
      <c r="N222" s="198"/>
      <c r="O222" s="198"/>
    </row>
    <row r="223" spans="4:15" x14ac:dyDescent="0.25">
      <c r="D223" s="196"/>
      <c r="E223" s="196"/>
      <c r="F223" s="198"/>
      <c r="G223" s="198"/>
      <c r="H223" s="198"/>
      <c r="I223" s="198"/>
      <c r="J223" s="198"/>
      <c r="K223" s="198"/>
      <c r="L223" s="198"/>
      <c r="M223" s="198"/>
      <c r="N223" s="198"/>
      <c r="O223" s="198"/>
    </row>
    <row r="224" spans="4:15" x14ac:dyDescent="0.25">
      <c r="D224" s="196"/>
      <c r="E224" s="196"/>
      <c r="F224" s="198"/>
      <c r="G224" s="198"/>
      <c r="H224" s="198"/>
      <c r="I224" s="198"/>
      <c r="J224" s="198"/>
      <c r="K224" s="198"/>
      <c r="L224" s="198"/>
      <c r="M224" s="198"/>
      <c r="N224" s="198"/>
      <c r="O224" s="198"/>
    </row>
    <row r="225" spans="4:15" x14ac:dyDescent="0.25">
      <c r="D225" s="196"/>
      <c r="E225" s="196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</row>
    <row r="226" spans="4:15" x14ac:dyDescent="0.25">
      <c r="D226" s="196"/>
      <c r="E226" s="196"/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</row>
    <row r="227" spans="4:15" x14ac:dyDescent="0.25">
      <c r="D227" s="196"/>
      <c r="E227" s="196"/>
      <c r="F227" s="198"/>
      <c r="G227" s="198"/>
      <c r="H227" s="198"/>
      <c r="I227" s="198"/>
      <c r="J227" s="198"/>
      <c r="K227" s="198"/>
      <c r="L227" s="198"/>
      <c r="M227" s="198"/>
      <c r="N227" s="198"/>
      <c r="O227" s="198"/>
    </row>
    <row r="228" spans="4:15" x14ac:dyDescent="0.25">
      <c r="D228" s="196"/>
      <c r="E228" s="196"/>
      <c r="F228" s="198"/>
      <c r="G228" s="198"/>
      <c r="H228" s="198"/>
      <c r="I228" s="198"/>
      <c r="J228" s="198"/>
      <c r="K228" s="198"/>
      <c r="L228" s="198"/>
      <c r="M228" s="198"/>
      <c r="N228" s="198"/>
      <c r="O228" s="198"/>
    </row>
    <row r="229" spans="4:15" x14ac:dyDescent="0.25">
      <c r="D229" s="196"/>
      <c r="E229" s="196"/>
      <c r="F229" s="198"/>
      <c r="G229" s="198"/>
      <c r="H229" s="198"/>
      <c r="I229" s="198"/>
      <c r="J229" s="198"/>
      <c r="K229" s="198"/>
      <c r="L229" s="198"/>
      <c r="M229" s="198"/>
      <c r="N229" s="198"/>
      <c r="O229" s="198"/>
    </row>
    <row r="230" spans="4:15" x14ac:dyDescent="0.25">
      <c r="D230" s="196"/>
      <c r="E230" s="196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</row>
    <row r="231" spans="4:15" x14ac:dyDescent="0.25">
      <c r="D231" s="196"/>
      <c r="E231" s="196"/>
      <c r="F231" s="198"/>
      <c r="G231" s="198"/>
      <c r="H231" s="198"/>
      <c r="I231" s="198"/>
      <c r="J231" s="198"/>
      <c r="K231" s="198"/>
      <c r="L231" s="198"/>
      <c r="M231" s="198"/>
      <c r="N231" s="198"/>
      <c r="O231" s="198"/>
    </row>
    <row r="232" spans="4:15" x14ac:dyDescent="0.25">
      <c r="D232" s="196"/>
      <c r="E232" s="196"/>
      <c r="F232" s="198"/>
      <c r="G232" s="198"/>
      <c r="H232" s="198"/>
      <c r="I232" s="198"/>
      <c r="J232" s="198"/>
      <c r="K232" s="198"/>
      <c r="L232" s="198"/>
      <c r="M232" s="198"/>
      <c r="N232" s="198"/>
      <c r="O232" s="198"/>
    </row>
    <row r="233" spans="4:15" x14ac:dyDescent="0.25">
      <c r="D233" s="196"/>
      <c r="E233" s="196"/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</row>
    <row r="234" spans="4:15" x14ac:dyDescent="0.25">
      <c r="D234" s="196"/>
      <c r="E234" s="196"/>
      <c r="F234" s="198"/>
      <c r="G234" s="198"/>
      <c r="H234" s="198"/>
      <c r="I234" s="198"/>
      <c r="J234" s="198"/>
      <c r="K234" s="198"/>
      <c r="L234" s="198"/>
      <c r="M234" s="198"/>
      <c r="N234" s="198"/>
      <c r="O234" s="198"/>
    </row>
    <row r="235" spans="4:15" x14ac:dyDescent="0.25">
      <c r="D235" s="196"/>
      <c r="E235" s="196"/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</row>
    <row r="236" spans="4:15" x14ac:dyDescent="0.25">
      <c r="D236" s="196"/>
      <c r="E236" s="196"/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</row>
    <row r="237" spans="4:15" x14ac:dyDescent="0.25">
      <c r="D237" s="196"/>
      <c r="E237" s="196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</row>
    <row r="238" spans="4:15" x14ac:dyDescent="0.25">
      <c r="D238" s="196"/>
      <c r="E238" s="196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</row>
    <row r="239" spans="4:15" x14ac:dyDescent="0.25">
      <c r="D239" s="196"/>
      <c r="E239" s="196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</row>
    <row r="240" spans="4:15" x14ac:dyDescent="0.25">
      <c r="D240" s="196"/>
      <c r="E240" s="196"/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</row>
    <row r="241" spans="4:15" x14ac:dyDescent="0.25">
      <c r="D241" s="196"/>
      <c r="E241" s="196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</row>
    <row r="242" spans="4:15" x14ac:dyDescent="0.25">
      <c r="D242" s="196"/>
      <c r="E242" s="196"/>
      <c r="F242" s="198"/>
      <c r="G242" s="198"/>
      <c r="H242" s="198"/>
      <c r="I242" s="198"/>
      <c r="J242" s="198"/>
      <c r="K242" s="198"/>
      <c r="L242" s="198"/>
      <c r="M242" s="198"/>
      <c r="N242" s="198"/>
      <c r="O242" s="198"/>
    </row>
    <row r="243" spans="4:15" x14ac:dyDescent="0.25">
      <c r="D243" s="196"/>
      <c r="E243" s="196"/>
      <c r="F243" s="198"/>
      <c r="G243" s="198"/>
      <c r="H243" s="198"/>
      <c r="I243" s="198"/>
      <c r="J243" s="198"/>
      <c r="K243" s="198"/>
      <c r="L243" s="198"/>
      <c r="M243" s="198"/>
      <c r="N243" s="198"/>
      <c r="O243" s="198"/>
    </row>
    <row r="244" spans="4:15" x14ac:dyDescent="0.25">
      <c r="D244" s="196"/>
      <c r="E244" s="196"/>
      <c r="F244" s="198"/>
      <c r="G244" s="198"/>
      <c r="H244" s="198"/>
      <c r="I244" s="198"/>
      <c r="J244" s="198"/>
      <c r="K244" s="198"/>
      <c r="L244" s="198"/>
      <c r="M244" s="198"/>
      <c r="N244" s="198"/>
      <c r="O244" s="198"/>
    </row>
    <row r="245" spans="4:15" x14ac:dyDescent="0.25">
      <c r="D245" s="196"/>
      <c r="E245" s="196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</row>
    <row r="246" spans="4:15" x14ac:dyDescent="0.25">
      <c r="D246" s="196"/>
      <c r="E246" s="196"/>
      <c r="F246" s="198"/>
      <c r="G246" s="198"/>
      <c r="H246" s="198"/>
      <c r="I246" s="198"/>
      <c r="J246" s="198"/>
      <c r="K246" s="198"/>
      <c r="L246" s="198"/>
      <c r="M246" s="198"/>
      <c r="N246" s="198"/>
      <c r="O246" s="198"/>
    </row>
    <row r="247" spans="4:15" x14ac:dyDescent="0.25">
      <c r="D247" s="196"/>
      <c r="E247" s="196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</row>
    <row r="248" spans="4:15" x14ac:dyDescent="0.25">
      <c r="D248" s="196"/>
      <c r="E248" s="196"/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</row>
    <row r="249" spans="4:15" x14ac:dyDescent="0.25">
      <c r="D249" s="196"/>
      <c r="E249" s="196"/>
      <c r="F249" s="198"/>
      <c r="G249" s="198"/>
      <c r="H249" s="198"/>
      <c r="I249" s="198"/>
      <c r="J249" s="198"/>
      <c r="K249" s="198"/>
      <c r="L249" s="198"/>
      <c r="M249" s="198"/>
      <c r="N249" s="198"/>
      <c r="O249" s="198"/>
    </row>
    <row r="250" spans="4:15" x14ac:dyDescent="0.25">
      <c r="D250" s="196"/>
      <c r="E250" s="196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</row>
    <row r="251" spans="4:15" x14ac:dyDescent="0.25">
      <c r="D251" s="196"/>
      <c r="E251" s="196"/>
      <c r="F251" s="198"/>
      <c r="G251" s="198"/>
      <c r="H251" s="198"/>
      <c r="I251" s="198"/>
      <c r="J251" s="198"/>
      <c r="K251" s="198"/>
      <c r="L251" s="198"/>
      <c r="M251" s="198"/>
      <c r="N251" s="198"/>
      <c r="O251" s="198"/>
    </row>
    <row r="252" spans="4:15" x14ac:dyDescent="0.25">
      <c r="D252" s="196"/>
      <c r="E252" s="196"/>
      <c r="F252" s="198"/>
      <c r="G252" s="198"/>
      <c r="H252" s="198"/>
      <c r="I252" s="198"/>
      <c r="J252" s="198"/>
      <c r="K252" s="198"/>
      <c r="L252" s="198"/>
      <c r="M252" s="198"/>
      <c r="N252" s="198"/>
      <c r="O252" s="198"/>
    </row>
    <row r="253" spans="4:15" x14ac:dyDescent="0.25">
      <c r="D253" s="196"/>
      <c r="E253" s="196"/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</row>
    <row r="254" spans="4:15" x14ac:dyDescent="0.25">
      <c r="D254" s="196"/>
      <c r="E254" s="196"/>
      <c r="F254" s="198"/>
      <c r="G254" s="198"/>
      <c r="H254" s="198"/>
      <c r="I254" s="198"/>
      <c r="J254" s="198"/>
      <c r="K254" s="198"/>
      <c r="L254" s="198"/>
      <c r="M254" s="198"/>
      <c r="N254" s="198"/>
      <c r="O254" s="198"/>
    </row>
    <row r="255" spans="4:15" x14ac:dyDescent="0.25">
      <c r="D255" s="196"/>
      <c r="E255" s="196"/>
      <c r="F255" s="198"/>
      <c r="G255" s="198"/>
      <c r="H255" s="198"/>
      <c r="I255" s="198"/>
      <c r="J255" s="198"/>
      <c r="K255" s="198"/>
      <c r="L255" s="198"/>
      <c r="M255" s="198"/>
      <c r="N255" s="198"/>
      <c r="O255" s="198"/>
    </row>
    <row r="256" spans="4:15" x14ac:dyDescent="0.25">
      <c r="D256" s="196"/>
      <c r="E256" s="196"/>
      <c r="F256" s="198"/>
      <c r="G256" s="198"/>
      <c r="H256" s="198"/>
      <c r="I256" s="198"/>
      <c r="J256" s="198"/>
      <c r="K256" s="198"/>
      <c r="L256" s="198"/>
      <c r="M256" s="198"/>
      <c r="N256" s="198"/>
      <c r="O256" s="198"/>
    </row>
    <row r="257" spans="4:15" x14ac:dyDescent="0.25">
      <c r="D257" s="196"/>
      <c r="E257" s="196"/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</row>
    <row r="258" spans="4:15" x14ac:dyDescent="0.25">
      <c r="D258" s="196"/>
      <c r="E258" s="196"/>
      <c r="F258" s="198"/>
      <c r="G258" s="198"/>
      <c r="H258" s="198"/>
      <c r="I258" s="198"/>
      <c r="J258" s="198"/>
      <c r="K258" s="198"/>
      <c r="L258" s="198"/>
      <c r="M258" s="198"/>
      <c r="N258" s="198"/>
      <c r="O258" s="198"/>
    </row>
    <row r="259" spans="4:15" x14ac:dyDescent="0.25">
      <c r="D259" s="196"/>
      <c r="E259" s="196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</row>
    <row r="260" spans="4:15" x14ac:dyDescent="0.25">
      <c r="D260" s="196"/>
      <c r="E260" s="196"/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</row>
    <row r="261" spans="4:15" x14ac:dyDescent="0.25">
      <c r="D261" s="196"/>
      <c r="E261" s="196"/>
      <c r="F261" s="198"/>
      <c r="G261" s="198"/>
      <c r="H261" s="198"/>
      <c r="I261" s="198"/>
      <c r="J261" s="198"/>
      <c r="K261" s="198"/>
      <c r="L261" s="198"/>
      <c r="M261" s="198"/>
      <c r="N261" s="198"/>
      <c r="O261" s="198"/>
    </row>
    <row r="262" spans="4:15" x14ac:dyDescent="0.25">
      <c r="D262" s="196"/>
      <c r="E262" s="196"/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</row>
    <row r="263" spans="4:15" x14ac:dyDescent="0.25">
      <c r="D263" s="196"/>
      <c r="E263" s="196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</row>
    <row r="264" spans="4:15" x14ac:dyDescent="0.25">
      <c r="D264" s="196"/>
      <c r="E264" s="196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</row>
    <row r="265" spans="4:15" x14ac:dyDescent="0.25">
      <c r="D265" s="196"/>
      <c r="E265" s="196"/>
      <c r="F265" s="198"/>
      <c r="G265" s="198"/>
      <c r="H265" s="198"/>
      <c r="I265" s="198"/>
      <c r="J265" s="198"/>
      <c r="K265" s="198"/>
      <c r="L265" s="198"/>
      <c r="M265" s="198"/>
      <c r="N265" s="198"/>
      <c r="O265" s="198"/>
    </row>
    <row r="266" spans="4:15" x14ac:dyDescent="0.25">
      <c r="D266" s="196"/>
      <c r="E266" s="196"/>
      <c r="F266" s="198"/>
      <c r="G266" s="198"/>
      <c r="H266" s="198"/>
      <c r="I266" s="198"/>
      <c r="J266" s="198"/>
      <c r="K266" s="198"/>
      <c r="L266" s="198"/>
      <c r="M266" s="198"/>
      <c r="N266" s="198"/>
      <c r="O266" s="198"/>
    </row>
    <row r="267" spans="4:15" x14ac:dyDescent="0.25">
      <c r="D267" s="196"/>
      <c r="E267" s="196"/>
      <c r="F267" s="198"/>
      <c r="G267" s="198"/>
      <c r="H267" s="198"/>
      <c r="I267" s="198"/>
      <c r="J267" s="198"/>
      <c r="K267" s="198"/>
      <c r="L267" s="198"/>
      <c r="M267" s="198"/>
      <c r="N267" s="198"/>
      <c r="O267" s="198"/>
    </row>
    <row r="268" spans="4:15" x14ac:dyDescent="0.25">
      <c r="D268" s="196"/>
      <c r="E268" s="196"/>
      <c r="F268" s="198"/>
      <c r="G268" s="198"/>
      <c r="H268" s="198"/>
      <c r="I268" s="198"/>
      <c r="J268" s="198"/>
      <c r="K268" s="198"/>
      <c r="L268" s="198"/>
      <c r="M268" s="198"/>
      <c r="N268" s="198"/>
      <c r="O268" s="198"/>
    </row>
    <row r="269" spans="4:15" x14ac:dyDescent="0.25">
      <c r="D269" s="196"/>
      <c r="E269" s="196"/>
      <c r="F269" s="198"/>
      <c r="G269" s="198"/>
      <c r="H269" s="198"/>
      <c r="I269" s="198"/>
      <c r="J269" s="198"/>
      <c r="K269" s="198"/>
      <c r="L269" s="198"/>
      <c r="M269" s="198"/>
      <c r="N269" s="198"/>
      <c r="O269" s="198"/>
    </row>
    <row r="270" spans="4:15" x14ac:dyDescent="0.25">
      <c r="D270" s="196"/>
      <c r="E270" s="196"/>
      <c r="F270" s="198"/>
      <c r="G270" s="198"/>
      <c r="H270" s="198"/>
      <c r="I270" s="198"/>
      <c r="J270" s="198"/>
      <c r="K270" s="198"/>
      <c r="L270" s="198"/>
      <c r="M270" s="198"/>
      <c r="N270" s="198"/>
      <c r="O270" s="198"/>
    </row>
    <row r="271" spans="4:15" x14ac:dyDescent="0.25">
      <c r="D271" s="196"/>
      <c r="E271" s="196"/>
      <c r="F271" s="198"/>
      <c r="G271" s="198"/>
      <c r="H271" s="198"/>
      <c r="I271" s="198"/>
      <c r="J271" s="198"/>
      <c r="K271" s="198"/>
      <c r="L271" s="198"/>
      <c r="M271" s="198"/>
      <c r="N271" s="198"/>
      <c r="O271" s="198"/>
    </row>
    <row r="272" spans="4:15" x14ac:dyDescent="0.25">
      <c r="D272" s="196"/>
      <c r="E272" s="196"/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</row>
    <row r="273" spans="4:15" x14ac:dyDescent="0.25">
      <c r="D273" s="196"/>
      <c r="E273" s="196"/>
      <c r="F273" s="198"/>
      <c r="G273" s="198"/>
      <c r="H273" s="198"/>
      <c r="I273" s="198"/>
      <c r="J273" s="198"/>
      <c r="K273" s="198"/>
      <c r="L273" s="198"/>
      <c r="M273" s="198"/>
      <c r="N273" s="198"/>
      <c r="O273" s="198"/>
    </row>
    <row r="274" spans="4:15" x14ac:dyDescent="0.25">
      <c r="D274" s="196"/>
      <c r="E274" s="196"/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</row>
    <row r="275" spans="4:15" x14ac:dyDescent="0.25">
      <c r="D275" s="196"/>
      <c r="E275" s="196"/>
      <c r="F275" s="198"/>
      <c r="G275" s="198"/>
      <c r="H275" s="198"/>
      <c r="I275" s="198"/>
      <c r="J275" s="198"/>
      <c r="K275" s="198"/>
      <c r="L275" s="198"/>
      <c r="M275" s="198"/>
      <c r="N275" s="198"/>
      <c r="O275" s="198"/>
    </row>
    <row r="276" spans="4:15" x14ac:dyDescent="0.25">
      <c r="D276" s="196"/>
      <c r="E276" s="196"/>
      <c r="F276" s="198"/>
      <c r="G276" s="198"/>
      <c r="H276" s="198"/>
      <c r="I276" s="198"/>
      <c r="J276" s="198"/>
      <c r="K276" s="198"/>
      <c r="L276" s="198"/>
      <c r="M276" s="198"/>
      <c r="N276" s="198"/>
      <c r="O276" s="198"/>
    </row>
    <row r="277" spans="4:15" x14ac:dyDescent="0.25">
      <c r="D277" s="196"/>
      <c r="E277" s="196"/>
      <c r="F277" s="198"/>
      <c r="G277" s="198"/>
      <c r="H277" s="198"/>
      <c r="I277" s="198"/>
      <c r="J277" s="198"/>
      <c r="K277" s="198"/>
      <c r="L277" s="198"/>
      <c r="M277" s="198"/>
      <c r="N277" s="198"/>
      <c r="O277" s="198"/>
    </row>
    <row r="278" spans="4:15" x14ac:dyDescent="0.25">
      <c r="D278" s="196"/>
      <c r="E278" s="196"/>
      <c r="F278" s="198"/>
      <c r="G278" s="198"/>
      <c r="H278" s="198"/>
      <c r="I278" s="198"/>
      <c r="J278" s="198"/>
      <c r="K278" s="198"/>
      <c r="L278" s="198"/>
      <c r="M278" s="198"/>
      <c r="N278" s="198"/>
      <c r="O278" s="198"/>
    </row>
    <row r="279" spans="4:15" x14ac:dyDescent="0.25">
      <c r="D279" s="196"/>
      <c r="E279" s="196"/>
      <c r="F279" s="198"/>
      <c r="G279" s="198"/>
      <c r="H279" s="198"/>
      <c r="I279" s="198"/>
      <c r="J279" s="198"/>
      <c r="K279" s="198"/>
      <c r="L279" s="198"/>
      <c r="M279" s="198"/>
      <c r="N279" s="198"/>
      <c r="O279" s="198"/>
    </row>
    <row r="280" spans="4:15" x14ac:dyDescent="0.25">
      <c r="D280" s="196"/>
      <c r="E280" s="196"/>
      <c r="F280" s="198"/>
      <c r="G280" s="198"/>
      <c r="H280" s="198"/>
      <c r="I280" s="198"/>
      <c r="J280" s="198"/>
      <c r="K280" s="198"/>
      <c r="L280" s="198"/>
      <c r="M280" s="198"/>
      <c r="N280" s="198"/>
      <c r="O280" s="198"/>
    </row>
    <row r="281" spans="4:15" x14ac:dyDescent="0.25">
      <c r="D281" s="196"/>
      <c r="E281" s="196"/>
      <c r="F281" s="198"/>
      <c r="G281" s="198"/>
      <c r="H281" s="198"/>
      <c r="I281" s="198"/>
      <c r="J281" s="198"/>
      <c r="K281" s="198"/>
      <c r="L281" s="198"/>
      <c r="M281" s="198"/>
      <c r="N281" s="198"/>
      <c r="O281" s="198"/>
    </row>
    <row r="282" spans="4:15" x14ac:dyDescent="0.25">
      <c r="D282" s="196"/>
      <c r="E282" s="196"/>
      <c r="F282" s="198"/>
      <c r="G282" s="198"/>
      <c r="H282" s="198"/>
      <c r="I282" s="198"/>
      <c r="J282" s="198"/>
      <c r="K282" s="198"/>
      <c r="L282" s="198"/>
      <c r="M282" s="198"/>
      <c r="N282" s="198"/>
      <c r="O282" s="198"/>
    </row>
    <row r="283" spans="4:15" x14ac:dyDescent="0.25">
      <c r="D283" s="196"/>
      <c r="E283" s="196"/>
      <c r="F283" s="198"/>
      <c r="G283" s="198"/>
      <c r="H283" s="198"/>
      <c r="I283" s="198"/>
      <c r="J283" s="198"/>
      <c r="K283" s="198"/>
      <c r="L283" s="198"/>
      <c r="M283" s="198"/>
      <c r="N283" s="198"/>
      <c r="O283" s="198"/>
    </row>
    <row r="284" spans="4:15" x14ac:dyDescent="0.25">
      <c r="D284" s="196"/>
      <c r="E284" s="196"/>
      <c r="F284" s="198"/>
      <c r="G284" s="198"/>
      <c r="H284" s="198"/>
      <c r="I284" s="198"/>
      <c r="J284" s="198"/>
      <c r="K284" s="198"/>
      <c r="L284" s="198"/>
      <c r="M284" s="198"/>
      <c r="N284" s="198"/>
      <c r="O284" s="198"/>
    </row>
    <row r="285" spans="4:15" x14ac:dyDescent="0.25">
      <c r="D285" s="196"/>
      <c r="E285" s="196"/>
      <c r="F285" s="198"/>
      <c r="G285" s="198"/>
      <c r="H285" s="198"/>
      <c r="I285" s="198"/>
      <c r="J285" s="198"/>
      <c r="K285" s="198"/>
      <c r="L285" s="198"/>
      <c r="M285" s="198"/>
      <c r="N285" s="198"/>
      <c r="O285" s="198"/>
    </row>
    <row r="286" spans="4:15" x14ac:dyDescent="0.25">
      <c r="D286" s="196"/>
      <c r="E286" s="196"/>
      <c r="F286" s="198"/>
      <c r="G286" s="198"/>
      <c r="H286" s="198"/>
      <c r="I286" s="198"/>
      <c r="J286" s="198"/>
      <c r="K286" s="198"/>
      <c r="L286" s="198"/>
      <c r="M286" s="198"/>
      <c r="N286" s="198"/>
      <c r="O286" s="198"/>
    </row>
    <row r="287" spans="4:15" x14ac:dyDescent="0.25">
      <c r="D287" s="196"/>
      <c r="E287" s="196"/>
      <c r="F287" s="198"/>
      <c r="G287" s="198"/>
      <c r="H287" s="198"/>
      <c r="I287" s="198"/>
      <c r="J287" s="198"/>
      <c r="K287" s="198"/>
      <c r="L287" s="198"/>
      <c r="M287" s="198"/>
      <c r="N287" s="198"/>
      <c r="O287" s="198"/>
    </row>
    <row r="288" spans="4:15" x14ac:dyDescent="0.25">
      <c r="D288" s="196"/>
      <c r="E288" s="196"/>
      <c r="F288" s="198"/>
      <c r="G288" s="198"/>
      <c r="H288" s="198"/>
      <c r="I288" s="198"/>
      <c r="J288" s="198"/>
      <c r="K288" s="198"/>
      <c r="L288" s="198"/>
      <c r="M288" s="198"/>
      <c r="N288" s="198"/>
      <c r="O288" s="198"/>
    </row>
    <row r="289" spans="4:15" x14ac:dyDescent="0.25">
      <c r="D289" s="196"/>
      <c r="E289" s="196"/>
      <c r="F289" s="198"/>
      <c r="G289" s="198"/>
      <c r="H289" s="198"/>
      <c r="I289" s="198"/>
      <c r="J289" s="198"/>
      <c r="K289" s="198"/>
      <c r="L289" s="198"/>
      <c r="M289" s="198"/>
      <c r="N289" s="198"/>
      <c r="O289" s="198"/>
    </row>
    <row r="290" spans="4:15" x14ac:dyDescent="0.25">
      <c r="D290" s="196"/>
      <c r="E290" s="196"/>
      <c r="F290" s="198"/>
      <c r="G290" s="198"/>
      <c r="H290" s="198"/>
      <c r="I290" s="198"/>
      <c r="J290" s="198"/>
      <c r="K290" s="198"/>
      <c r="L290" s="198"/>
      <c r="M290" s="198"/>
      <c r="N290" s="198"/>
      <c r="O290" s="198"/>
    </row>
    <row r="291" spans="4:15" x14ac:dyDescent="0.25">
      <c r="D291" s="196"/>
      <c r="E291" s="196"/>
      <c r="F291" s="198"/>
      <c r="G291" s="198"/>
      <c r="H291" s="198"/>
      <c r="I291" s="198"/>
      <c r="J291" s="198"/>
      <c r="K291" s="198"/>
      <c r="L291" s="198"/>
      <c r="M291" s="198"/>
      <c r="N291" s="198"/>
      <c r="O291" s="198"/>
    </row>
    <row r="292" spans="4:15" x14ac:dyDescent="0.25">
      <c r="D292" s="196"/>
      <c r="E292" s="196"/>
      <c r="F292" s="198"/>
      <c r="G292" s="198"/>
      <c r="H292" s="198"/>
      <c r="I292" s="198"/>
      <c r="J292" s="198"/>
      <c r="K292" s="198"/>
      <c r="L292" s="198"/>
      <c r="M292" s="198"/>
      <c r="N292" s="198"/>
      <c r="O292" s="198"/>
    </row>
    <row r="293" spans="4:15" x14ac:dyDescent="0.25">
      <c r="D293" s="196"/>
      <c r="E293" s="196"/>
      <c r="F293" s="198"/>
      <c r="G293" s="198"/>
      <c r="H293" s="198"/>
      <c r="I293" s="198"/>
      <c r="J293" s="198"/>
      <c r="K293" s="198"/>
      <c r="L293" s="198"/>
      <c r="M293" s="198"/>
      <c r="N293" s="198"/>
      <c r="O293" s="198"/>
    </row>
    <row r="294" spans="4:15" x14ac:dyDescent="0.25">
      <c r="D294" s="196"/>
      <c r="E294" s="196"/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</row>
    <row r="295" spans="4:15" x14ac:dyDescent="0.25">
      <c r="D295" s="196"/>
      <c r="E295" s="196"/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</row>
    <row r="296" spans="4:15" x14ac:dyDescent="0.25">
      <c r="D296" s="196"/>
      <c r="E296" s="196"/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</row>
    <row r="297" spans="4:15" x14ac:dyDescent="0.25">
      <c r="D297" s="196"/>
      <c r="E297" s="196"/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</row>
    <row r="298" spans="4:15" x14ac:dyDescent="0.25">
      <c r="D298" s="196"/>
      <c r="E298" s="196"/>
      <c r="F298" s="198"/>
      <c r="G298" s="198"/>
      <c r="H298" s="198"/>
      <c r="I298" s="198"/>
      <c r="J298" s="198"/>
      <c r="K298" s="198"/>
      <c r="L298" s="198"/>
      <c r="M298" s="198"/>
      <c r="N298" s="198"/>
      <c r="O298" s="198"/>
    </row>
    <row r="299" spans="4:15" x14ac:dyDescent="0.25">
      <c r="D299" s="196"/>
      <c r="E299" s="196"/>
      <c r="F299" s="198"/>
      <c r="G299" s="198"/>
      <c r="H299" s="198"/>
      <c r="I299" s="198"/>
      <c r="J299" s="198"/>
      <c r="K299" s="198"/>
      <c r="L299" s="198"/>
      <c r="M299" s="198"/>
      <c r="N299" s="198"/>
      <c r="O299" s="198"/>
    </row>
    <row r="300" spans="4:15" x14ac:dyDescent="0.25">
      <c r="D300" s="196"/>
      <c r="E300" s="196"/>
      <c r="F300" s="198"/>
      <c r="G300" s="198"/>
      <c r="H300" s="198"/>
      <c r="I300" s="198"/>
      <c r="J300" s="198"/>
      <c r="K300" s="198"/>
      <c r="L300" s="198"/>
      <c r="M300" s="198"/>
      <c r="N300" s="198"/>
      <c r="O300" s="198"/>
    </row>
    <row r="301" spans="4:15" x14ac:dyDescent="0.25">
      <c r="D301" s="196"/>
      <c r="E301" s="196"/>
      <c r="F301" s="198"/>
      <c r="G301" s="198"/>
      <c r="H301" s="198"/>
      <c r="I301" s="198"/>
      <c r="J301" s="198"/>
      <c r="K301" s="198"/>
      <c r="L301" s="198"/>
      <c r="M301" s="198"/>
      <c r="N301" s="198"/>
      <c r="O301" s="198"/>
    </row>
    <row r="302" spans="4:15" x14ac:dyDescent="0.25">
      <c r="D302" s="196"/>
      <c r="E302" s="196"/>
      <c r="F302" s="198"/>
      <c r="G302" s="198"/>
      <c r="H302" s="198"/>
      <c r="I302" s="198"/>
      <c r="J302" s="198"/>
      <c r="K302" s="198"/>
      <c r="L302" s="198"/>
      <c r="M302" s="198"/>
      <c r="N302" s="198"/>
      <c r="O302" s="198"/>
    </row>
    <row r="303" spans="4:15" x14ac:dyDescent="0.25">
      <c r="D303" s="196"/>
      <c r="E303" s="196"/>
      <c r="F303" s="198"/>
      <c r="G303" s="198"/>
      <c r="H303" s="198"/>
      <c r="I303" s="198"/>
      <c r="J303" s="198"/>
      <c r="K303" s="198"/>
      <c r="L303" s="198"/>
      <c r="M303" s="198"/>
      <c r="N303" s="198"/>
      <c r="O303" s="198"/>
    </row>
    <row r="304" spans="4:15" x14ac:dyDescent="0.25">
      <c r="D304" s="196"/>
      <c r="E304" s="196"/>
      <c r="F304" s="198"/>
      <c r="G304" s="198"/>
      <c r="H304" s="198"/>
      <c r="I304" s="198"/>
      <c r="J304" s="198"/>
      <c r="K304" s="198"/>
      <c r="L304" s="198"/>
      <c r="M304" s="198"/>
      <c r="N304" s="198"/>
      <c r="O304" s="198"/>
    </row>
    <row r="305" spans="4:15" x14ac:dyDescent="0.25">
      <c r="D305" s="196"/>
      <c r="E305" s="196"/>
      <c r="F305" s="198"/>
      <c r="G305" s="198"/>
      <c r="H305" s="198"/>
      <c r="I305" s="198"/>
      <c r="J305" s="198"/>
      <c r="K305" s="198"/>
      <c r="L305" s="198"/>
      <c r="M305" s="198"/>
      <c r="N305" s="198"/>
      <c r="O305" s="198"/>
    </row>
    <row r="306" spans="4:15" x14ac:dyDescent="0.25">
      <c r="D306" s="196"/>
      <c r="E306" s="196"/>
      <c r="F306" s="198"/>
      <c r="G306" s="198"/>
      <c r="H306" s="198"/>
      <c r="I306" s="198"/>
      <c r="J306" s="198"/>
      <c r="K306" s="198"/>
      <c r="L306" s="198"/>
      <c r="M306" s="198"/>
      <c r="N306" s="198"/>
      <c r="O306" s="198"/>
    </row>
    <row r="307" spans="4:15" x14ac:dyDescent="0.25">
      <c r="D307" s="196"/>
      <c r="E307" s="196"/>
      <c r="F307" s="198"/>
      <c r="G307" s="198"/>
      <c r="H307" s="198"/>
      <c r="I307" s="198"/>
      <c r="J307" s="198"/>
      <c r="K307" s="198"/>
      <c r="L307" s="198"/>
      <c r="M307" s="198"/>
      <c r="N307" s="198"/>
      <c r="O307" s="198"/>
    </row>
    <row r="308" spans="4:15" x14ac:dyDescent="0.25">
      <c r="D308" s="196"/>
      <c r="E308" s="196"/>
      <c r="F308" s="198"/>
      <c r="G308" s="198"/>
      <c r="H308" s="198"/>
      <c r="I308" s="198"/>
      <c r="J308" s="198"/>
      <c r="K308" s="198"/>
      <c r="L308" s="198"/>
      <c r="M308" s="198"/>
      <c r="N308" s="198"/>
      <c r="O308" s="198"/>
    </row>
    <row r="309" spans="4:15" x14ac:dyDescent="0.25">
      <c r="D309" s="196"/>
      <c r="E309" s="196"/>
      <c r="F309" s="198"/>
      <c r="G309" s="198"/>
      <c r="H309" s="198"/>
      <c r="I309" s="198"/>
      <c r="J309" s="198"/>
      <c r="K309" s="198"/>
      <c r="L309" s="198"/>
      <c r="M309" s="198"/>
      <c r="N309" s="198"/>
      <c r="O309" s="198"/>
    </row>
    <row r="310" spans="4:15" x14ac:dyDescent="0.25">
      <c r="D310" s="196"/>
      <c r="E310" s="196"/>
      <c r="F310" s="198"/>
      <c r="G310" s="198"/>
      <c r="H310" s="198"/>
      <c r="I310" s="198"/>
      <c r="J310" s="198"/>
      <c r="K310" s="198"/>
      <c r="L310" s="198"/>
      <c r="M310" s="198"/>
      <c r="N310" s="198"/>
      <c r="O310" s="198"/>
    </row>
    <row r="311" spans="4:15" x14ac:dyDescent="0.25">
      <c r="D311" s="196"/>
      <c r="E311" s="196"/>
      <c r="F311" s="198"/>
      <c r="G311" s="198"/>
      <c r="H311" s="198"/>
      <c r="I311" s="198"/>
      <c r="J311" s="198"/>
      <c r="K311" s="198"/>
      <c r="L311" s="198"/>
      <c r="M311" s="198"/>
      <c r="N311" s="198"/>
      <c r="O311" s="198"/>
    </row>
    <row r="312" spans="4:15" x14ac:dyDescent="0.25">
      <c r="D312" s="196"/>
      <c r="E312" s="196"/>
      <c r="F312" s="198"/>
      <c r="G312" s="198"/>
      <c r="H312" s="198"/>
      <c r="I312" s="198"/>
      <c r="J312" s="198"/>
      <c r="K312" s="198"/>
      <c r="L312" s="198"/>
      <c r="M312" s="198"/>
      <c r="N312" s="198"/>
      <c r="O312" s="198"/>
    </row>
    <row r="313" spans="4:15" x14ac:dyDescent="0.25">
      <c r="D313" s="196"/>
      <c r="E313" s="196"/>
      <c r="F313" s="198"/>
      <c r="G313" s="198"/>
      <c r="H313" s="198"/>
      <c r="I313" s="198"/>
      <c r="J313" s="198"/>
      <c r="K313" s="198"/>
      <c r="L313" s="198"/>
      <c r="M313" s="198"/>
      <c r="N313" s="198"/>
      <c r="O313" s="198"/>
    </row>
    <row r="314" spans="4:15" x14ac:dyDescent="0.25">
      <c r="D314" s="196"/>
      <c r="E314" s="196"/>
      <c r="F314" s="198"/>
      <c r="G314" s="198"/>
      <c r="H314" s="198"/>
      <c r="I314" s="198"/>
      <c r="J314" s="198"/>
      <c r="K314" s="198"/>
      <c r="L314" s="198"/>
      <c r="M314" s="198"/>
      <c r="N314" s="198"/>
      <c r="O314" s="198"/>
    </row>
    <row r="315" spans="4:15" x14ac:dyDescent="0.25">
      <c r="D315" s="196"/>
      <c r="E315" s="196"/>
      <c r="F315" s="198"/>
      <c r="G315" s="198"/>
      <c r="H315" s="198"/>
      <c r="I315" s="198"/>
      <c r="J315" s="198"/>
      <c r="K315" s="198"/>
      <c r="L315" s="198"/>
      <c r="M315" s="198"/>
      <c r="N315" s="198"/>
      <c r="O315" s="198"/>
    </row>
    <row r="316" spans="4:15" x14ac:dyDescent="0.25">
      <c r="D316" s="196"/>
      <c r="E316" s="196"/>
      <c r="F316" s="198"/>
      <c r="G316" s="198"/>
      <c r="H316" s="198"/>
      <c r="I316" s="198"/>
      <c r="J316" s="198"/>
      <c r="K316" s="198"/>
      <c r="L316" s="198"/>
      <c r="M316" s="198"/>
      <c r="N316" s="198"/>
      <c r="O316" s="198"/>
    </row>
    <row r="317" spans="4:15" x14ac:dyDescent="0.25">
      <c r="D317" s="196"/>
      <c r="E317" s="196"/>
      <c r="F317" s="198"/>
      <c r="G317" s="198"/>
      <c r="H317" s="198"/>
      <c r="I317" s="198"/>
      <c r="J317" s="198"/>
      <c r="K317" s="198"/>
      <c r="L317" s="198"/>
      <c r="M317" s="198"/>
      <c r="N317" s="198"/>
      <c r="O317" s="198"/>
    </row>
    <row r="318" spans="4:15" x14ac:dyDescent="0.25">
      <c r="D318" s="196"/>
      <c r="E318" s="196"/>
      <c r="F318" s="198"/>
      <c r="G318" s="198"/>
      <c r="H318" s="198"/>
      <c r="I318" s="198"/>
      <c r="J318" s="198"/>
      <c r="K318" s="198"/>
      <c r="L318" s="198"/>
      <c r="M318" s="198"/>
      <c r="N318" s="198"/>
      <c r="O318" s="198"/>
    </row>
    <row r="319" spans="4:15" x14ac:dyDescent="0.25">
      <c r="D319" s="196"/>
      <c r="E319" s="196"/>
      <c r="F319" s="198"/>
      <c r="G319" s="198"/>
      <c r="H319" s="198"/>
      <c r="I319" s="198"/>
      <c r="J319" s="198"/>
      <c r="K319" s="198"/>
      <c r="L319" s="198"/>
      <c r="M319" s="198"/>
      <c r="N319" s="198"/>
      <c r="O319" s="198"/>
    </row>
    <row r="320" spans="4:15" x14ac:dyDescent="0.25">
      <c r="D320" s="196"/>
      <c r="E320" s="196"/>
      <c r="F320" s="198"/>
      <c r="G320" s="198"/>
      <c r="H320" s="198"/>
      <c r="I320" s="198"/>
      <c r="J320" s="198"/>
      <c r="K320" s="198"/>
      <c r="L320" s="198"/>
      <c r="M320" s="198"/>
      <c r="N320" s="198"/>
      <c r="O320" s="198"/>
    </row>
    <row r="321" spans="4:15" x14ac:dyDescent="0.25">
      <c r="D321" s="196"/>
      <c r="E321" s="196"/>
      <c r="F321" s="198"/>
      <c r="G321" s="198"/>
      <c r="H321" s="198"/>
      <c r="I321" s="198"/>
      <c r="J321" s="198"/>
      <c r="K321" s="198"/>
      <c r="L321" s="198"/>
      <c r="M321" s="198"/>
      <c r="N321" s="198"/>
      <c r="O321" s="198"/>
    </row>
    <row r="322" spans="4:15" x14ac:dyDescent="0.25">
      <c r="D322" s="196"/>
      <c r="E322" s="196"/>
      <c r="F322" s="198"/>
      <c r="G322" s="198"/>
      <c r="H322" s="198"/>
      <c r="I322" s="198"/>
      <c r="J322" s="198"/>
      <c r="K322" s="198"/>
      <c r="L322" s="198"/>
      <c r="M322" s="198"/>
      <c r="N322" s="198"/>
      <c r="O322" s="198"/>
    </row>
    <row r="323" spans="4:15" x14ac:dyDescent="0.25">
      <c r="D323" s="196"/>
      <c r="E323" s="196"/>
      <c r="F323" s="198"/>
      <c r="G323" s="198"/>
      <c r="H323" s="198"/>
      <c r="I323" s="198"/>
      <c r="J323" s="198"/>
      <c r="K323" s="198"/>
      <c r="L323" s="198"/>
      <c r="M323" s="198"/>
      <c r="N323" s="198"/>
      <c r="O323" s="198"/>
    </row>
    <row r="324" spans="4:15" x14ac:dyDescent="0.25">
      <c r="D324" s="196"/>
      <c r="E324" s="196"/>
      <c r="F324" s="198"/>
      <c r="G324" s="198"/>
      <c r="H324" s="198"/>
      <c r="I324" s="198"/>
      <c r="J324" s="198"/>
      <c r="K324" s="198"/>
      <c r="L324" s="198"/>
      <c r="M324" s="198"/>
      <c r="N324" s="198"/>
      <c r="O324" s="198"/>
    </row>
    <row r="325" spans="4:15" x14ac:dyDescent="0.25">
      <c r="D325" s="196"/>
      <c r="E325" s="196"/>
      <c r="F325" s="198"/>
      <c r="G325" s="198"/>
      <c r="H325" s="198"/>
      <c r="I325" s="198"/>
      <c r="J325" s="198"/>
      <c r="K325" s="198"/>
      <c r="L325" s="198"/>
      <c r="M325" s="198"/>
      <c r="N325" s="198"/>
      <c r="O325" s="198"/>
    </row>
    <row r="326" spans="4:15" x14ac:dyDescent="0.25">
      <c r="D326" s="196"/>
      <c r="E326" s="196"/>
      <c r="F326" s="198"/>
      <c r="G326" s="198"/>
      <c r="H326" s="198"/>
      <c r="I326" s="198"/>
      <c r="J326" s="198"/>
      <c r="K326" s="198"/>
      <c r="L326" s="198"/>
      <c r="M326" s="198"/>
      <c r="N326" s="198"/>
      <c r="O326" s="198"/>
    </row>
    <row r="327" spans="4:15" x14ac:dyDescent="0.25">
      <c r="D327" s="196"/>
      <c r="E327" s="196"/>
      <c r="F327" s="198"/>
      <c r="G327" s="198"/>
      <c r="H327" s="198"/>
      <c r="I327" s="198"/>
      <c r="J327" s="198"/>
      <c r="K327" s="198"/>
      <c r="L327" s="198"/>
      <c r="M327" s="198"/>
      <c r="N327" s="198"/>
      <c r="O327" s="198"/>
    </row>
    <row r="328" spans="4:15" x14ac:dyDescent="0.25">
      <c r="D328" s="196"/>
      <c r="E328" s="196"/>
      <c r="F328" s="198"/>
      <c r="G328" s="198"/>
      <c r="H328" s="198"/>
      <c r="I328" s="198"/>
      <c r="J328" s="198"/>
      <c r="K328" s="198"/>
      <c r="L328" s="198"/>
      <c r="M328" s="198"/>
      <c r="N328" s="198"/>
      <c r="O328" s="198"/>
    </row>
    <row r="329" spans="4:15" x14ac:dyDescent="0.25">
      <c r="D329" s="196"/>
      <c r="E329" s="196"/>
      <c r="F329" s="198"/>
      <c r="G329" s="198"/>
      <c r="H329" s="198"/>
      <c r="I329" s="198"/>
      <c r="J329" s="198"/>
      <c r="K329" s="198"/>
      <c r="L329" s="198"/>
      <c r="M329" s="198"/>
      <c r="N329" s="198"/>
      <c r="O329" s="198"/>
    </row>
    <row r="330" spans="4:15" x14ac:dyDescent="0.25">
      <c r="D330" s="196"/>
      <c r="E330" s="196"/>
      <c r="F330" s="198"/>
      <c r="G330" s="198"/>
      <c r="H330" s="198"/>
      <c r="I330" s="198"/>
      <c r="J330" s="198"/>
      <c r="K330" s="198"/>
      <c r="L330" s="198"/>
      <c r="M330" s="198"/>
      <c r="N330" s="198"/>
      <c r="O330" s="198"/>
    </row>
    <row r="331" spans="4:15" x14ac:dyDescent="0.25">
      <c r="D331" s="196"/>
      <c r="E331" s="196"/>
      <c r="F331" s="198"/>
      <c r="G331" s="198"/>
      <c r="H331" s="198"/>
      <c r="I331" s="198"/>
      <c r="J331" s="198"/>
      <c r="K331" s="198"/>
      <c r="L331" s="198"/>
      <c r="M331" s="198"/>
      <c r="N331" s="198"/>
      <c r="O331" s="198"/>
    </row>
    <row r="332" spans="4:15" x14ac:dyDescent="0.25">
      <c r="D332" s="196"/>
      <c r="E332" s="196"/>
      <c r="F332" s="198"/>
      <c r="G332" s="198"/>
      <c r="H332" s="198"/>
      <c r="I332" s="198"/>
      <c r="J332" s="198"/>
      <c r="K332" s="198"/>
      <c r="L332" s="198"/>
      <c r="M332" s="198"/>
      <c r="N332" s="198"/>
      <c r="O332" s="198"/>
    </row>
    <row r="333" spans="4:15" x14ac:dyDescent="0.25">
      <c r="D333" s="196"/>
      <c r="E333" s="196"/>
      <c r="F333" s="198"/>
      <c r="G333" s="198"/>
      <c r="H333" s="198"/>
      <c r="I333" s="198"/>
      <c r="J333" s="198"/>
      <c r="K333" s="198"/>
      <c r="L333" s="198"/>
      <c r="M333" s="198"/>
      <c r="N333" s="198"/>
      <c r="O333" s="198"/>
    </row>
    <row r="334" spans="4:15" x14ac:dyDescent="0.25">
      <c r="D334" s="196"/>
      <c r="E334" s="196"/>
      <c r="F334" s="198"/>
      <c r="G334" s="198"/>
      <c r="H334" s="198"/>
      <c r="I334" s="198"/>
      <c r="J334" s="198"/>
      <c r="K334" s="198"/>
      <c r="L334" s="198"/>
      <c r="M334" s="198"/>
      <c r="N334" s="198"/>
      <c r="O334" s="198"/>
    </row>
    <row r="335" spans="4:15" x14ac:dyDescent="0.25">
      <c r="D335" s="196"/>
      <c r="E335" s="196"/>
      <c r="F335" s="198"/>
      <c r="G335" s="198"/>
      <c r="H335" s="198"/>
      <c r="I335" s="198"/>
      <c r="J335" s="198"/>
      <c r="K335" s="198"/>
      <c r="L335" s="198"/>
      <c r="M335" s="198"/>
      <c r="N335" s="198"/>
      <c r="O335" s="198"/>
    </row>
    <row r="336" spans="4:15" x14ac:dyDescent="0.25">
      <c r="D336" s="196"/>
      <c r="E336" s="196"/>
      <c r="F336" s="198"/>
      <c r="G336" s="198"/>
      <c r="H336" s="198"/>
      <c r="I336" s="198"/>
      <c r="J336" s="198"/>
      <c r="K336" s="198"/>
      <c r="L336" s="198"/>
      <c r="M336" s="198"/>
      <c r="N336" s="198"/>
      <c r="O336" s="198"/>
    </row>
    <row r="337" spans="4:15" x14ac:dyDescent="0.25">
      <c r="D337" s="196"/>
      <c r="E337" s="196"/>
      <c r="F337" s="198"/>
      <c r="G337" s="198"/>
      <c r="H337" s="198"/>
      <c r="I337" s="198"/>
      <c r="J337" s="198"/>
      <c r="K337" s="198"/>
      <c r="L337" s="198"/>
      <c r="M337" s="198"/>
      <c r="N337" s="198"/>
      <c r="O337" s="198"/>
    </row>
    <row r="338" spans="4:15" x14ac:dyDescent="0.25">
      <c r="D338" s="196"/>
      <c r="E338" s="196"/>
      <c r="F338" s="198"/>
      <c r="G338" s="198"/>
      <c r="H338" s="198"/>
      <c r="I338" s="198"/>
      <c r="J338" s="198"/>
      <c r="K338" s="198"/>
      <c r="L338" s="198"/>
      <c r="M338" s="198"/>
      <c r="N338" s="198"/>
      <c r="O338" s="198"/>
    </row>
    <row r="339" spans="4:15" x14ac:dyDescent="0.25">
      <c r="D339" s="196"/>
      <c r="E339" s="196"/>
      <c r="F339" s="198"/>
      <c r="G339" s="198"/>
      <c r="H339" s="198"/>
      <c r="I339" s="198"/>
      <c r="J339" s="198"/>
      <c r="K339" s="198"/>
      <c r="L339" s="198"/>
      <c r="M339" s="198"/>
      <c r="N339" s="198"/>
      <c r="O339" s="198"/>
    </row>
    <row r="340" spans="4:15" x14ac:dyDescent="0.25">
      <c r="D340" s="196"/>
      <c r="E340" s="196"/>
      <c r="F340" s="198"/>
      <c r="G340" s="198"/>
      <c r="H340" s="198"/>
      <c r="I340" s="198"/>
      <c r="J340" s="198"/>
      <c r="K340" s="198"/>
      <c r="L340" s="198"/>
      <c r="M340" s="198"/>
      <c r="N340" s="198"/>
      <c r="O340" s="198"/>
    </row>
    <row r="341" spans="4:15" x14ac:dyDescent="0.25">
      <c r="D341" s="196"/>
      <c r="E341" s="196"/>
      <c r="F341" s="198"/>
      <c r="G341" s="198"/>
      <c r="H341" s="198"/>
      <c r="I341" s="198"/>
      <c r="J341" s="198"/>
      <c r="K341" s="198"/>
      <c r="L341" s="198"/>
      <c r="M341" s="198"/>
      <c r="N341" s="198"/>
      <c r="O341" s="198"/>
    </row>
    <row r="342" spans="4:15" x14ac:dyDescent="0.25">
      <c r="D342" s="196"/>
      <c r="E342" s="196"/>
      <c r="F342" s="198"/>
      <c r="G342" s="198"/>
      <c r="H342" s="198"/>
      <c r="I342" s="198"/>
      <c r="J342" s="198"/>
      <c r="K342" s="198"/>
      <c r="L342" s="198"/>
      <c r="M342" s="198"/>
      <c r="N342" s="198"/>
      <c r="O342" s="198"/>
    </row>
    <row r="343" spans="4:15" x14ac:dyDescent="0.25">
      <c r="D343" s="196"/>
      <c r="E343" s="196"/>
      <c r="F343" s="198"/>
      <c r="G343" s="198"/>
      <c r="H343" s="198"/>
      <c r="I343" s="198"/>
      <c r="J343" s="198"/>
      <c r="K343" s="198"/>
      <c r="L343" s="198"/>
      <c r="M343" s="198"/>
      <c r="N343" s="198"/>
      <c r="O343" s="198"/>
    </row>
    <row r="344" spans="4:15" x14ac:dyDescent="0.25">
      <c r="D344" s="196"/>
      <c r="E344" s="196"/>
      <c r="F344" s="198"/>
      <c r="G344" s="198"/>
      <c r="H344" s="198"/>
      <c r="I344" s="198"/>
      <c r="J344" s="198"/>
      <c r="K344" s="198"/>
      <c r="L344" s="198"/>
      <c r="M344" s="198"/>
      <c r="N344" s="198"/>
      <c r="O344" s="198"/>
    </row>
    <row r="345" spans="4:15" x14ac:dyDescent="0.25">
      <c r="D345" s="196"/>
      <c r="E345" s="196"/>
      <c r="F345" s="198"/>
      <c r="G345" s="198"/>
      <c r="H345" s="198"/>
      <c r="I345" s="198"/>
      <c r="J345" s="198"/>
      <c r="K345" s="198"/>
      <c r="L345" s="198"/>
      <c r="M345" s="198"/>
      <c r="N345" s="198"/>
      <c r="O345" s="198"/>
    </row>
    <row r="346" spans="4:15" x14ac:dyDescent="0.25">
      <c r="D346" s="196"/>
      <c r="E346" s="196"/>
      <c r="F346" s="198"/>
      <c r="G346" s="198"/>
      <c r="H346" s="198"/>
      <c r="I346" s="198"/>
      <c r="J346" s="198"/>
      <c r="K346" s="198"/>
      <c r="L346" s="198"/>
      <c r="M346" s="198"/>
      <c r="N346" s="198"/>
      <c r="O346" s="198"/>
    </row>
    <row r="347" spans="4:15" x14ac:dyDescent="0.25">
      <c r="D347" s="196"/>
      <c r="E347" s="196"/>
      <c r="F347" s="198"/>
      <c r="G347" s="198"/>
      <c r="H347" s="198"/>
      <c r="I347" s="198"/>
      <c r="J347" s="198"/>
      <c r="K347" s="198"/>
      <c r="L347" s="198"/>
      <c r="M347" s="198"/>
      <c r="N347" s="198"/>
      <c r="O347" s="198"/>
    </row>
    <row r="348" spans="4:15" x14ac:dyDescent="0.25">
      <c r="D348" s="196"/>
      <c r="E348" s="196"/>
      <c r="F348" s="198"/>
      <c r="G348" s="198"/>
      <c r="H348" s="198"/>
      <c r="I348" s="198"/>
      <c r="J348" s="198"/>
      <c r="K348" s="198"/>
      <c r="L348" s="198"/>
      <c r="M348" s="198"/>
      <c r="N348" s="198"/>
      <c r="O348" s="198"/>
    </row>
    <row r="349" spans="4:15" x14ac:dyDescent="0.25">
      <c r="D349" s="196"/>
      <c r="E349" s="196"/>
      <c r="F349" s="198"/>
      <c r="G349" s="198"/>
      <c r="H349" s="198"/>
      <c r="I349" s="198"/>
      <c r="J349" s="198"/>
      <c r="K349" s="198"/>
      <c r="L349" s="198"/>
      <c r="M349" s="198"/>
      <c r="N349" s="198"/>
      <c r="O349" s="198"/>
    </row>
    <row r="350" spans="4:15" x14ac:dyDescent="0.25">
      <c r="D350" s="196"/>
      <c r="E350" s="196"/>
      <c r="F350" s="198"/>
      <c r="G350" s="198"/>
      <c r="H350" s="198"/>
      <c r="I350" s="198"/>
      <c r="J350" s="198"/>
      <c r="K350" s="198"/>
      <c r="L350" s="198"/>
      <c r="M350" s="198"/>
      <c r="N350" s="198"/>
      <c r="O350" s="198"/>
    </row>
    <row r="351" spans="4:15" x14ac:dyDescent="0.25">
      <c r="D351" s="196"/>
      <c r="E351" s="196"/>
      <c r="F351" s="198"/>
      <c r="G351" s="198"/>
      <c r="H351" s="198"/>
      <c r="I351" s="198"/>
      <c r="J351" s="198"/>
      <c r="K351" s="198"/>
      <c r="L351" s="198"/>
      <c r="M351" s="198"/>
      <c r="N351" s="198"/>
      <c r="O351" s="198"/>
    </row>
    <row r="352" spans="4:15" x14ac:dyDescent="0.25">
      <c r="D352" s="196"/>
      <c r="E352" s="196"/>
      <c r="F352" s="198"/>
      <c r="G352" s="198"/>
      <c r="H352" s="198"/>
      <c r="I352" s="198"/>
      <c r="J352" s="198"/>
      <c r="K352" s="198"/>
      <c r="L352" s="198"/>
      <c r="M352" s="198"/>
      <c r="N352" s="198"/>
      <c r="O352" s="198"/>
    </row>
    <row r="353" spans="4:15" x14ac:dyDescent="0.25">
      <c r="D353" s="196"/>
      <c r="E353" s="196"/>
      <c r="F353" s="198"/>
      <c r="G353" s="198"/>
      <c r="H353" s="198"/>
      <c r="I353" s="198"/>
      <c r="J353" s="198"/>
      <c r="K353" s="198"/>
      <c r="L353" s="198"/>
      <c r="M353" s="198"/>
      <c r="N353" s="198"/>
      <c r="O353" s="198"/>
    </row>
    <row r="354" spans="4:15" x14ac:dyDescent="0.25">
      <c r="D354" s="196"/>
      <c r="E354" s="196"/>
      <c r="F354" s="198"/>
      <c r="G354" s="198"/>
      <c r="H354" s="198"/>
      <c r="I354" s="198"/>
      <c r="J354" s="198"/>
      <c r="K354" s="198"/>
      <c r="L354" s="198"/>
      <c r="M354" s="198"/>
      <c r="N354" s="198"/>
      <c r="O354" s="198"/>
    </row>
    <row r="355" spans="4:15" x14ac:dyDescent="0.25">
      <c r="D355" s="196"/>
      <c r="E355" s="196"/>
      <c r="F355" s="198"/>
      <c r="G355" s="198"/>
      <c r="H355" s="198"/>
      <c r="I355" s="198"/>
      <c r="J355" s="198"/>
      <c r="K355" s="198"/>
      <c r="L355" s="198"/>
      <c r="M355" s="198"/>
      <c r="N355" s="198"/>
      <c r="O355" s="198"/>
    </row>
    <row r="356" spans="4:15" x14ac:dyDescent="0.25">
      <c r="D356" s="196"/>
      <c r="E356" s="196"/>
      <c r="F356" s="198"/>
      <c r="G356" s="198"/>
      <c r="H356" s="198"/>
      <c r="I356" s="198"/>
      <c r="J356" s="198"/>
      <c r="K356" s="198"/>
      <c r="L356" s="198"/>
      <c r="M356" s="198"/>
      <c r="N356" s="198"/>
      <c r="O356" s="198"/>
    </row>
    <row r="357" spans="4:15" x14ac:dyDescent="0.25">
      <c r="D357" s="196"/>
      <c r="E357" s="196"/>
      <c r="F357" s="198"/>
      <c r="G357" s="198"/>
      <c r="H357" s="198"/>
      <c r="I357" s="198"/>
      <c r="J357" s="198"/>
      <c r="K357" s="198"/>
      <c r="L357" s="198"/>
      <c r="M357" s="198"/>
      <c r="N357" s="198"/>
      <c r="O357" s="198"/>
    </row>
    <row r="358" spans="4:15" x14ac:dyDescent="0.25">
      <c r="D358" s="196"/>
      <c r="E358" s="196"/>
      <c r="F358" s="198"/>
      <c r="G358" s="198"/>
      <c r="H358" s="198"/>
      <c r="I358" s="198"/>
      <c r="J358" s="198"/>
      <c r="K358" s="198"/>
      <c r="L358" s="198"/>
      <c r="M358" s="198"/>
      <c r="N358" s="198"/>
      <c r="O358" s="198"/>
    </row>
    <row r="359" spans="4:15" x14ac:dyDescent="0.25">
      <c r="D359" s="196"/>
      <c r="E359" s="196"/>
      <c r="F359" s="198"/>
      <c r="G359" s="198"/>
      <c r="H359" s="198"/>
      <c r="I359" s="198"/>
      <c r="J359" s="198"/>
      <c r="K359" s="198"/>
      <c r="L359" s="198"/>
      <c r="M359" s="198"/>
      <c r="N359" s="198"/>
      <c r="O359" s="198"/>
    </row>
    <row r="360" spans="4:15" x14ac:dyDescent="0.25">
      <c r="D360" s="196"/>
      <c r="E360" s="196"/>
      <c r="F360" s="198"/>
      <c r="G360" s="198"/>
      <c r="H360" s="198"/>
      <c r="I360" s="198"/>
      <c r="J360" s="198"/>
      <c r="K360" s="198"/>
      <c r="L360" s="198"/>
      <c r="M360" s="198"/>
      <c r="N360" s="198"/>
      <c r="O360" s="198"/>
    </row>
    <row r="361" spans="4:15" x14ac:dyDescent="0.25">
      <c r="D361" s="196"/>
      <c r="E361" s="196"/>
      <c r="F361" s="198"/>
      <c r="G361" s="198"/>
      <c r="H361" s="198"/>
      <c r="I361" s="198"/>
      <c r="J361" s="198"/>
      <c r="K361" s="198"/>
      <c r="L361" s="198"/>
      <c r="M361" s="198"/>
      <c r="N361" s="198"/>
      <c r="O361" s="198"/>
    </row>
    <row r="362" spans="4:15" x14ac:dyDescent="0.25">
      <c r="D362" s="196"/>
      <c r="E362" s="196"/>
      <c r="F362" s="198"/>
      <c r="G362" s="198"/>
      <c r="H362" s="198"/>
      <c r="I362" s="198"/>
      <c r="J362" s="198"/>
      <c r="K362" s="198"/>
      <c r="L362" s="198"/>
      <c r="M362" s="198"/>
      <c r="N362" s="198"/>
      <c r="O362" s="198"/>
    </row>
    <row r="363" spans="4:15" x14ac:dyDescent="0.25">
      <c r="D363" s="196"/>
      <c r="E363" s="196"/>
      <c r="F363" s="198"/>
      <c r="G363" s="198"/>
      <c r="H363" s="198"/>
      <c r="I363" s="198"/>
      <c r="J363" s="198"/>
      <c r="K363" s="198"/>
      <c r="L363" s="198"/>
      <c r="M363" s="198"/>
      <c r="N363" s="198"/>
      <c r="O363" s="198"/>
    </row>
    <row r="364" spans="4:15" x14ac:dyDescent="0.25">
      <c r="D364" s="196"/>
      <c r="E364" s="196"/>
      <c r="F364" s="198"/>
      <c r="G364" s="198"/>
      <c r="H364" s="198"/>
      <c r="I364" s="198"/>
      <c r="J364" s="198"/>
      <c r="K364" s="198"/>
      <c r="L364" s="198"/>
      <c r="M364" s="198"/>
      <c r="N364" s="198"/>
      <c r="O364" s="198"/>
    </row>
    <row r="365" spans="4:15" x14ac:dyDescent="0.25">
      <c r="D365" s="196"/>
      <c r="E365" s="196"/>
      <c r="F365" s="198"/>
      <c r="G365" s="198"/>
      <c r="H365" s="198"/>
      <c r="I365" s="198"/>
      <c r="J365" s="198"/>
      <c r="K365" s="198"/>
      <c r="L365" s="198"/>
      <c r="M365" s="198"/>
      <c r="N365" s="198"/>
      <c r="O365" s="198"/>
    </row>
    <row r="366" spans="4:15" x14ac:dyDescent="0.25">
      <c r="D366" s="196"/>
      <c r="E366" s="196"/>
      <c r="F366" s="198"/>
      <c r="G366" s="198"/>
      <c r="H366" s="198"/>
      <c r="I366" s="198"/>
      <c r="J366" s="198"/>
      <c r="K366" s="198"/>
      <c r="L366" s="198"/>
      <c r="M366" s="198"/>
      <c r="N366" s="198"/>
      <c r="O366" s="198"/>
    </row>
    <row r="367" spans="4:15" x14ac:dyDescent="0.25">
      <c r="D367" s="196"/>
      <c r="E367" s="196"/>
      <c r="F367" s="198"/>
      <c r="G367" s="198"/>
      <c r="H367" s="198"/>
      <c r="I367" s="198"/>
      <c r="J367" s="198"/>
      <c r="K367" s="198"/>
      <c r="L367" s="198"/>
      <c r="M367" s="198"/>
      <c r="N367" s="198"/>
      <c r="O367" s="198"/>
    </row>
    <row r="368" spans="4:15" x14ac:dyDescent="0.25">
      <c r="D368" s="196"/>
      <c r="E368" s="196"/>
      <c r="F368" s="198"/>
      <c r="G368" s="198"/>
      <c r="H368" s="198"/>
      <c r="I368" s="198"/>
      <c r="J368" s="198"/>
      <c r="K368" s="198"/>
      <c r="L368" s="198"/>
      <c r="M368" s="198"/>
      <c r="N368" s="198"/>
      <c r="O368" s="198"/>
    </row>
    <row r="369" spans="4:15" x14ac:dyDescent="0.25">
      <c r="D369" s="196"/>
      <c r="E369" s="196"/>
      <c r="F369" s="198"/>
      <c r="G369" s="198"/>
      <c r="H369" s="198"/>
      <c r="I369" s="198"/>
      <c r="J369" s="198"/>
      <c r="K369" s="198"/>
      <c r="L369" s="198"/>
      <c r="M369" s="198"/>
      <c r="N369" s="198"/>
      <c r="O369" s="198"/>
    </row>
    <row r="370" spans="4:15" x14ac:dyDescent="0.25">
      <c r="D370" s="196"/>
      <c r="E370" s="196"/>
      <c r="F370" s="198"/>
      <c r="G370" s="198"/>
      <c r="H370" s="198"/>
      <c r="I370" s="198"/>
      <c r="J370" s="198"/>
      <c r="K370" s="198"/>
      <c r="L370" s="198"/>
      <c r="M370" s="198"/>
      <c r="N370" s="198"/>
      <c r="O370" s="198"/>
    </row>
    <row r="371" spans="4:15" x14ac:dyDescent="0.25">
      <c r="D371" s="196"/>
      <c r="E371" s="196"/>
      <c r="F371" s="198"/>
      <c r="G371" s="198"/>
      <c r="H371" s="198"/>
      <c r="I371" s="198"/>
      <c r="J371" s="198"/>
      <c r="K371" s="198"/>
      <c r="L371" s="198"/>
      <c r="M371" s="198"/>
      <c r="N371" s="198"/>
      <c r="O371" s="198"/>
    </row>
    <row r="372" spans="4:15" x14ac:dyDescent="0.25">
      <c r="D372" s="196"/>
      <c r="E372" s="196"/>
      <c r="F372" s="198"/>
      <c r="G372" s="198"/>
      <c r="H372" s="198"/>
      <c r="I372" s="198"/>
      <c r="J372" s="198"/>
      <c r="K372" s="198"/>
      <c r="L372" s="198"/>
      <c r="M372" s="198"/>
      <c r="N372" s="198"/>
      <c r="O372" s="198"/>
    </row>
    <row r="373" spans="4:15" x14ac:dyDescent="0.25">
      <c r="D373" s="196"/>
      <c r="E373" s="196"/>
      <c r="F373" s="198"/>
      <c r="G373" s="198"/>
      <c r="H373" s="198"/>
      <c r="I373" s="198"/>
      <c r="J373" s="198"/>
      <c r="K373" s="198"/>
      <c r="L373" s="198"/>
      <c r="M373" s="198"/>
      <c r="N373" s="198"/>
      <c r="O373" s="198"/>
    </row>
    <row r="374" spans="4:15" x14ac:dyDescent="0.25">
      <c r="D374" s="196"/>
      <c r="E374" s="196"/>
      <c r="F374" s="198"/>
      <c r="G374" s="198"/>
      <c r="H374" s="198"/>
      <c r="I374" s="198"/>
      <c r="J374" s="198"/>
      <c r="K374" s="198"/>
      <c r="L374" s="198"/>
      <c r="M374" s="198"/>
      <c r="N374" s="198"/>
      <c r="O374" s="198"/>
    </row>
    <row r="375" spans="4:15" x14ac:dyDescent="0.25">
      <c r="D375" s="196"/>
      <c r="E375" s="196"/>
      <c r="F375" s="198"/>
      <c r="G375" s="198"/>
      <c r="H375" s="198"/>
      <c r="I375" s="198"/>
      <c r="J375" s="198"/>
      <c r="K375" s="198"/>
      <c r="L375" s="198"/>
      <c r="M375" s="198"/>
      <c r="N375" s="198"/>
      <c r="O375" s="198"/>
    </row>
    <row r="376" spans="4:15" x14ac:dyDescent="0.25">
      <c r="D376" s="196"/>
      <c r="E376" s="196"/>
      <c r="F376" s="198"/>
      <c r="G376" s="198"/>
      <c r="H376" s="198"/>
      <c r="I376" s="198"/>
      <c r="J376" s="198"/>
      <c r="K376" s="198"/>
      <c r="L376" s="198"/>
      <c r="M376" s="198"/>
      <c r="N376" s="198"/>
      <c r="O376" s="198"/>
    </row>
    <row r="377" spans="4:15" x14ac:dyDescent="0.25">
      <c r="D377" s="196"/>
      <c r="E377" s="196"/>
      <c r="F377" s="198"/>
      <c r="G377" s="198"/>
      <c r="H377" s="198"/>
      <c r="I377" s="198"/>
      <c r="J377" s="198"/>
      <c r="K377" s="198"/>
      <c r="L377" s="198"/>
      <c r="M377" s="198"/>
      <c r="N377" s="198"/>
      <c r="O377" s="198"/>
    </row>
    <row r="378" spans="4:15" x14ac:dyDescent="0.25">
      <c r="D378" s="196"/>
      <c r="E378" s="196"/>
      <c r="F378" s="198"/>
      <c r="G378" s="198"/>
      <c r="H378" s="198"/>
      <c r="I378" s="198"/>
      <c r="J378" s="198"/>
      <c r="K378" s="198"/>
      <c r="L378" s="198"/>
      <c r="M378" s="198"/>
      <c r="N378" s="198"/>
      <c r="O378" s="198"/>
    </row>
    <row r="379" spans="4:15" x14ac:dyDescent="0.25">
      <c r="D379" s="196"/>
      <c r="E379" s="196"/>
      <c r="F379" s="198"/>
      <c r="G379" s="198"/>
      <c r="H379" s="198"/>
      <c r="I379" s="198"/>
      <c r="J379" s="198"/>
      <c r="K379" s="198"/>
      <c r="L379" s="198"/>
      <c r="M379" s="198"/>
      <c r="N379" s="198"/>
      <c r="O379" s="198"/>
    </row>
    <row r="380" spans="4:15" x14ac:dyDescent="0.25">
      <c r="D380" s="196"/>
      <c r="E380" s="196"/>
      <c r="F380" s="198"/>
      <c r="G380" s="198"/>
      <c r="H380" s="198"/>
      <c r="I380" s="198"/>
      <c r="J380" s="198"/>
      <c r="K380" s="198"/>
      <c r="L380" s="198"/>
      <c r="M380" s="198"/>
      <c r="N380" s="198"/>
      <c r="O380" s="198"/>
    </row>
    <row r="381" spans="4:15" x14ac:dyDescent="0.25">
      <c r="D381" s="196"/>
      <c r="E381" s="196"/>
      <c r="F381" s="198"/>
      <c r="G381" s="198"/>
      <c r="H381" s="198"/>
      <c r="I381" s="198"/>
      <c r="J381" s="198"/>
      <c r="K381" s="198"/>
      <c r="L381" s="198"/>
      <c r="M381" s="198"/>
      <c r="N381" s="198"/>
      <c r="O381" s="198"/>
    </row>
    <row r="382" spans="4:15" x14ac:dyDescent="0.25">
      <c r="D382" s="196"/>
      <c r="E382" s="196"/>
      <c r="F382" s="198"/>
      <c r="G382" s="198"/>
      <c r="H382" s="198"/>
      <c r="I382" s="198"/>
      <c r="J382" s="198"/>
      <c r="K382" s="198"/>
      <c r="L382" s="198"/>
      <c r="M382" s="198"/>
      <c r="N382" s="198"/>
      <c r="O382" s="198"/>
    </row>
    <row r="383" spans="4:15" x14ac:dyDescent="0.25">
      <c r="D383" s="196"/>
      <c r="E383" s="196"/>
      <c r="F383" s="198"/>
      <c r="G383" s="198"/>
      <c r="H383" s="198"/>
      <c r="I383" s="198"/>
      <c r="J383" s="198"/>
      <c r="K383" s="198"/>
      <c r="L383" s="198"/>
      <c r="M383" s="198"/>
      <c r="N383" s="198"/>
      <c r="O383" s="198"/>
    </row>
    <row r="384" spans="4:15" x14ac:dyDescent="0.25">
      <c r="D384" s="196"/>
      <c r="E384" s="196"/>
      <c r="F384" s="198"/>
      <c r="G384" s="198"/>
      <c r="H384" s="198"/>
      <c r="I384" s="198"/>
      <c r="J384" s="198"/>
      <c r="K384" s="198"/>
      <c r="L384" s="198"/>
      <c r="M384" s="198"/>
      <c r="N384" s="198"/>
      <c r="O384" s="198"/>
    </row>
    <row r="385" spans="4:15" x14ac:dyDescent="0.25">
      <c r="D385" s="196"/>
      <c r="E385" s="196"/>
      <c r="F385" s="198"/>
      <c r="G385" s="198"/>
      <c r="H385" s="198"/>
      <c r="I385" s="198"/>
      <c r="J385" s="198"/>
      <c r="K385" s="198"/>
      <c r="L385" s="198"/>
      <c r="M385" s="198"/>
      <c r="N385" s="198"/>
      <c r="O385" s="198"/>
    </row>
    <row r="386" spans="4:15" x14ac:dyDescent="0.25">
      <c r="D386" s="196"/>
      <c r="E386" s="196"/>
      <c r="F386" s="198"/>
      <c r="G386" s="198"/>
      <c r="H386" s="198"/>
      <c r="I386" s="198"/>
      <c r="J386" s="198"/>
      <c r="K386" s="198"/>
      <c r="L386" s="198"/>
      <c r="M386" s="198"/>
      <c r="N386" s="198"/>
      <c r="O386" s="198"/>
    </row>
    <row r="387" spans="4:15" x14ac:dyDescent="0.25">
      <c r="D387" s="196"/>
      <c r="E387" s="196"/>
      <c r="F387" s="198"/>
      <c r="G387" s="198"/>
      <c r="H387" s="198"/>
      <c r="I387" s="198"/>
      <c r="J387" s="198"/>
      <c r="K387" s="198"/>
      <c r="L387" s="198"/>
      <c r="M387" s="198"/>
      <c r="N387" s="198"/>
      <c r="O387" s="198"/>
    </row>
    <row r="388" spans="4:15" x14ac:dyDescent="0.25">
      <c r="D388" s="196"/>
      <c r="E388" s="196"/>
      <c r="F388" s="198"/>
      <c r="G388" s="198"/>
      <c r="H388" s="198"/>
      <c r="I388" s="198"/>
      <c r="J388" s="198"/>
      <c r="K388" s="198"/>
      <c r="L388" s="198"/>
      <c r="M388" s="198"/>
      <c r="N388" s="198"/>
      <c r="O388" s="198"/>
    </row>
    <row r="389" spans="4:15" x14ac:dyDescent="0.25">
      <c r="D389" s="196"/>
      <c r="E389" s="196"/>
      <c r="F389" s="198"/>
      <c r="G389" s="198"/>
      <c r="H389" s="198"/>
      <c r="I389" s="198"/>
      <c r="J389" s="198"/>
      <c r="K389" s="198"/>
      <c r="L389" s="198"/>
      <c r="M389" s="198"/>
      <c r="N389" s="198"/>
      <c r="O389" s="198"/>
    </row>
    <row r="390" spans="4:15" x14ac:dyDescent="0.25">
      <c r="D390" s="196"/>
      <c r="E390" s="196"/>
      <c r="F390" s="198"/>
      <c r="G390" s="198"/>
      <c r="H390" s="198"/>
      <c r="I390" s="198"/>
      <c r="J390" s="198"/>
      <c r="K390" s="198"/>
      <c r="L390" s="198"/>
      <c r="M390" s="198"/>
      <c r="N390" s="198"/>
      <c r="O390" s="198"/>
    </row>
    <row r="391" spans="4:15" x14ac:dyDescent="0.25">
      <c r="D391" s="196"/>
      <c r="E391" s="196"/>
      <c r="F391" s="198"/>
      <c r="G391" s="198"/>
      <c r="H391" s="198"/>
      <c r="I391" s="198"/>
      <c r="J391" s="198"/>
      <c r="K391" s="198"/>
      <c r="L391" s="198"/>
      <c r="M391" s="198"/>
      <c r="N391" s="198"/>
      <c r="O391" s="198"/>
    </row>
    <row r="392" spans="4:15" x14ac:dyDescent="0.25">
      <c r="D392" s="196"/>
      <c r="E392" s="196"/>
      <c r="F392" s="198"/>
      <c r="G392" s="198"/>
      <c r="H392" s="198"/>
      <c r="I392" s="198"/>
      <c r="J392" s="198"/>
      <c r="K392" s="198"/>
      <c r="L392" s="198"/>
      <c r="M392" s="198"/>
      <c r="N392" s="198"/>
      <c r="O392" s="198"/>
    </row>
    <row r="393" spans="4:15" x14ac:dyDescent="0.25">
      <c r="D393" s="196"/>
      <c r="E393" s="196"/>
      <c r="F393" s="198"/>
      <c r="G393" s="198"/>
      <c r="H393" s="198"/>
      <c r="I393" s="198"/>
      <c r="J393" s="198"/>
      <c r="K393" s="198"/>
      <c r="L393" s="198"/>
      <c r="M393" s="198"/>
      <c r="N393" s="198"/>
      <c r="O393" s="198"/>
    </row>
    <row r="394" spans="4:15" x14ac:dyDescent="0.25">
      <c r="D394" s="196"/>
      <c r="E394" s="196"/>
      <c r="F394" s="198"/>
      <c r="G394" s="198"/>
      <c r="H394" s="198"/>
      <c r="I394" s="198"/>
      <c r="J394" s="198"/>
      <c r="K394" s="198"/>
      <c r="L394" s="198"/>
      <c r="M394" s="198"/>
      <c r="N394" s="198"/>
      <c r="O394" s="198"/>
    </row>
    <row r="395" spans="4:15" x14ac:dyDescent="0.25">
      <c r="D395" s="196"/>
      <c r="E395" s="196"/>
      <c r="F395" s="198"/>
      <c r="G395" s="198"/>
      <c r="H395" s="198"/>
      <c r="I395" s="198"/>
      <c r="J395" s="198"/>
      <c r="K395" s="198"/>
      <c r="L395" s="198"/>
      <c r="M395" s="198"/>
      <c r="N395" s="198"/>
      <c r="O395" s="198"/>
    </row>
    <row r="396" spans="4:15" x14ac:dyDescent="0.25">
      <c r="D396" s="196"/>
      <c r="E396" s="196"/>
      <c r="F396" s="198"/>
      <c r="G396" s="198"/>
      <c r="H396" s="198"/>
      <c r="I396" s="198"/>
      <c r="J396" s="198"/>
      <c r="K396" s="198"/>
      <c r="L396" s="198"/>
      <c r="M396" s="198"/>
      <c r="N396" s="198"/>
      <c r="O396" s="198"/>
    </row>
    <row r="397" spans="4:15" x14ac:dyDescent="0.25">
      <c r="D397" s="196"/>
      <c r="E397" s="196"/>
      <c r="F397" s="198"/>
      <c r="G397" s="198"/>
      <c r="H397" s="198"/>
      <c r="I397" s="198"/>
      <c r="J397" s="198"/>
      <c r="K397" s="198"/>
      <c r="L397" s="198"/>
      <c r="M397" s="198"/>
      <c r="N397" s="198"/>
      <c r="O397" s="198"/>
    </row>
    <row r="398" spans="4:15" x14ac:dyDescent="0.25">
      <c r="D398" s="196"/>
      <c r="E398" s="196"/>
      <c r="F398" s="198"/>
      <c r="G398" s="198"/>
      <c r="H398" s="198"/>
      <c r="I398" s="198"/>
      <c r="J398" s="198"/>
      <c r="K398" s="198"/>
      <c r="L398" s="198"/>
      <c r="M398" s="198"/>
      <c r="N398" s="198"/>
      <c r="O398" s="198"/>
    </row>
    <row r="399" spans="4:15" x14ac:dyDescent="0.25">
      <c r="D399" s="196"/>
      <c r="E399" s="196"/>
      <c r="F399" s="198"/>
      <c r="G399" s="198"/>
      <c r="H399" s="198"/>
      <c r="I399" s="198"/>
      <c r="J399" s="198"/>
      <c r="K399" s="198"/>
      <c r="L399" s="198"/>
      <c r="M399" s="198"/>
      <c r="N399" s="198"/>
      <c r="O399" s="198"/>
    </row>
    <row r="400" spans="4:15" x14ac:dyDescent="0.25">
      <c r="D400" s="196"/>
      <c r="E400" s="196"/>
      <c r="F400" s="198"/>
      <c r="G400" s="198"/>
      <c r="H400" s="198"/>
      <c r="I400" s="198"/>
      <c r="J400" s="198"/>
      <c r="K400" s="198"/>
      <c r="L400" s="198"/>
      <c r="M400" s="198"/>
      <c r="N400" s="198"/>
      <c r="O400" s="198"/>
    </row>
    <row r="401" spans="4:15" x14ac:dyDescent="0.25">
      <c r="D401" s="196"/>
      <c r="E401" s="196"/>
      <c r="F401" s="198"/>
      <c r="G401" s="198"/>
      <c r="H401" s="198"/>
      <c r="I401" s="198"/>
      <c r="J401" s="198"/>
      <c r="K401" s="198"/>
      <c r="L401" s="198"/>
      <c r="M401" s="198"/>
      <c r="N401" s="198"/>
      <c r="O401" s="198"/>
    </row>
    <row r="402" spans="4:15" x14ac:dyDescent="0.25">
      <c r="D402" s="196"/>
      <c r="E402" s="196"/>
      <c r="F402" s="198"/>
      <c r="G402" s="198"/>
      <c r="H402" s="198"/>
      <c r="I402" s="198"/>
      <c r="J402" s="198"/>
      <c r="K402" s="198"/>
      <c r="L402" s="198"/>
      <c r="M402" s="198"/>
      <c r="N402" s="198"/>
      <c r="O402" s="198"/>
    </row>
    <row r="403" spans="4:15" x14ac:dyDescent="0.25">
      <c r="D403" s="196"/>
      <c r="E403" s="196"/>
      <c r="F403" s="198"/>
      <c r="G403" s="198"/>
      <c r="H403" s="198"/>
      <c r="I403" s="198"/>
      <c r="J403" s="198"/>
      <c r="K403" s="198"/>
      <c r="L403" s="198"/>
      <c r="M403" s="198"/>
      <c r="N403" s="198"/>
      <c r="O403" s="198"/>
    </row>
    <row r="404" spans="4:15" x14ac:dyDescent="0.25">
      <c r="D404" s="196"/>
      <c r="E404" s="196"/>
      <c r="F404" s="198"/>
      <c r="G404" s="198"/>
      <c r="H404" s="198"/>
      <c r="I404" s="198"/>
      <c r="J404" s="198"/>
      <c r="K404" s="198"/>
      <c r="L404" s="198"/>
      <c r="M404" s="198"/>
      <c r="N404" s="198"/>
      <c r="O404" s="198"/>
    </row>
    <row r="405" spans="4:15" x14ac:dyDescent="0.25">
      <c r="D405" s="196"/>
      <c r="E405" s="196"/>
      <c r="F405" s="198"/>
      <c r="G405" s="198"/>
      <c r="H405" s="198"/>
      <c r="I405" s="198"/>
      <c r="J405" s="198"/>
      <c r="K405" s="198"/>
      <c r="L405" s="198"/>
      <c r="M405" s="198"/>
      <c r="N405" s="198"/>
      <c r="O405" s="198"/>
    </row>
    <row r="406" spans="4:15" x14ac:dyDescent="0.25">
      <c r="D406" s="196"/>
      <c r="E406" s="196"/>
      <c r="F406" s="198"/>
      <c r="G406" s="198"/>
      <c r="H406" s="198"/>
      <c r="I406" s="198"/>
      <c r="J406" s="198"/>
      <c r="K406" s="198"/>
      <c r="L406" s="198"/>
      <c r="M406" s="198"/>
      <c r="N406" s="198"/>
      <c r="O406" s="198"/>
    </row>
    <row r="407" spans="4:15" x14ac:dyDescent="0.25">
      <c r="D407" s="196"/>
      <c r="E407" s="196"/>
      <c r="F407" s="198"/>
      <c r="G407" s="198"/>
      <c r="H407" s="198"/>
      <c r="I407" s="198"/>
      <c r="J407" s="198"/>
      <c r="K407" s="198"/>
      <c r="L407" s="198"/>
      <c r="M407" s="198"/>
      <c r="N407" s="198"/>
      <c r="O407" s="198"/>
    </row>
    <row r="408" spans="4:15" x14ac:dyDescent="0.25">
      <c r="D408" s="196"/>
      <c r="E408" s="196"/>
      <c r="F408" s="198"/>
      <c r="G408" s="198"/>
      <c r="H408" s="198"/>
      <c r="I408" s="198"/>
      <c r="J408" s="198"/>
      <c r="K408" s="198"/>
      <c r="L408" s="198"/>
      <c r="M408" s="198"/>
      <c r="N408" s="198"/>
      <c r="O408" s="198"/>
    </row>
    <row r="409" spans="4:15" x14ac:dyDescent="0.25">
      <c r="D409" s="196"/>
      <c r="E409" s="196"/>
      <c r="F409" s="198"/>
      <c r="G409" s="198"/>
      <c r="H409" s="198"/>
      <c r="I409" s="198"/>
      <c r="J409" s="198"/>
      <c r="K409" s="198"/>
      <c r="L409" s="198"/>
      <c r="M409" s="198"/>
      <c r="N409" s="198"/>
      <c r="O409" s="198"/>
    </row>
    <row r="410" spans="4:15" x14ac:dyDescent="0.25">
      <c r="D410" s="196"/>
      <c r="E410" s="196"/>
      <c r="F410" s="198"/>
      <c r="G410" s="198"/>
      <c r="H410" s="198"/>
      <c r="I410" s="198"/>
      <c r="J410" s="198"/>
      <c r="K410" s="198"/>
      <c r="L410" s="198"/>
      <c r="M410" s="198"/>
      <c r="N410" s="198"/>
      <c r="O410" s="198"/>
    </row>
    <row r="411" spans="4:15" x14ac:dyDescent="0.25">
      <c r="D411" s="196"/>
      <c r="E411" s="196"/>
      <c r="F411" s="198"/>
      <c r="G411" s="198"/>
      <c r="H411" s="198"/>
      <c r="I411" s="198"/>
      <c r="J411" s="198"/>
      <c r="K411" s="198"/>
      <c r="L411" s="198"/>
      <c r="M411" s="198"/>
      <c r="N411" s="198"/>
      <c r="O411" s="198"/>
    </row>
    <row r="412" spans="4:15" x14ac:dyDescent="0.25">
      <c r="D412" s="196"/>
      <c r="E412" s="196"/>
      <c r="F412" s="198"/>
      <c r="G412" s="198"/>
      <c r="H412" s="198"/>
      <c r="I412" s="198"/>
      <c r="J412" s="198"/>
      <c r="K412" s="198"/>
      <c r="L412" s="198"/>
      <c r="M412" s="198"/>
      <c r="N412" s="198"/>
      <c r="O412" s="198"/>
    </row>
    <row r="413" spans="4:15" x14ac:dyDescent="0.25">
      <c r="D413" s="196"/>
      <c r="E413" s="196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</row>
    <row r="414" spans="4:15" x14ac:dyDescent="0.25">
      <c r="D414" s="196"/>
      <c r="E414" s="196"/>
      <c r="F414" s="198"/>
      <c r="G414" s="198"/>
      <c r="H414" s="198"/>
      <c r="I414" s="198"/>
      <c r="J414" s="198"/>
      <c r="K414" s="198"/>
      <c r="L414" s="198"/>
      <c r="M414" s="198"/>
      <c r="N414" s="198"/>
      <c r="O414" s="198"/>
    </row>
    <row r="415" spans="4:15" x14ac:dyDescent="0.25">
      <c r="D415" s="196"/>
      <c r="E415" s="196"/>
      <c r="F415" s="198"/>
      <c r="G415" s="198"/>
      <c r="H415" s="198"/>
      <c r="I415" s="198"/>
      <c r="J415" s="198"/>
      <c r="K415" s="198"/>
      <c r="L415" s="198"/>
      <c r="M415" s="198"/>
      <c r="N415" s="198"/>
      <c r="O415" s="198"/>
    </row>
    <row r="416" spans="4:15" x14ac:dyDescent="0.25">
      <c r="D416" s="196"/>
      <c r="E416" s="196"/>
      <c r="F416" s="198"/>
      <c r="G416" s="198"/>
      <c r="H416" s="198"/>
      <c r="I416" s="198"/>
      <c r="J416" s="198"/>
      <c r="K416" s="198"/>
      <c r="L416" s="198"/>
      <c r="M416" s="198"/>
      <c r="N416" s="198"/>
      <c r="O416" s="198"/>
    </row>
    <row r="417" spans="4:15" x14ac:dyDescent="0.25">
      <c r="D417" s="196"/>
      <c r="E417" s="196"/>
      <c r="F417" s="198"/>
      <c r="G417" s="198"/>
      <c r="H417" s="198"/>
      <c r="I417" s="198"/>
      <c r="J417" s="198"/>
      <c r="K417" s="198"/>
      <c r="L417" s="198"/>
      <c r="M417" s="198"/>
      <c r="N417" s="198"/>
      <c r="O417" s="198"/>
    </row>
    <row r="418" spans="4:15" x14ac:dyDescent="0.25">
      <c r="D418" s="196"/>
      <c r="E418" s="196"/>
      <c r="F418" s="198"/>
      <c r="G418" s="198"/>
      <c r="H418" s="198"/>
      <c r="I418" s="198"/>
      <c r="J418" s="198"/>
      <c r="K418" s="198"/>
      <c r="L418" s="198"/>
      <c r="M418" s="198"/>
      <c r="N418" s="198"/>
      <c r="O418" s="198"/>
    </row>
    <row r="419" spans="4:15" x14ac:dyDescent="0.25">
      <c r="D419" s="196"/>
      <c r="E419" s="196"/>
      <c r="F419" s="198"/>
      <c r="G419" s="198"/>
      <c r="H419" s="198"/>
      <c r="I419" s="198"/>
      <c r="J419" s="198"/>
      <c r="K419" s="198"/>
      <c r="L419" s="198"/>
      <c r="M419" s="198"/>
      <c r="N419" s="198"/>
      <c r="O419" s="198"/>
    </row>
    <row r="420" spans="4:15" x14ac:dyDescent="0.25">
      <c r="D420" s="196"/>
      <c r="E420" s="196"/>
      <c r="F420" s="198"/>
      <c r="G420" s="198"/>
      <c r="H420" s="198"/>
      <c r="I420" s="198"/>
      <c r="J420" s="198"/>
      <c r="K420" s="198"/>
      <c r="L420" s="198"/>
      <c r="M420" s="198"/>
      <c r="N420" s="198"/>
      <c r="O420" s="198"/>
    </row>
    <row r="421" spans="4:15" x14ac:dyDescent="0.25">
      <c r="D421" s="196"/>
      <c r="E421" s="196"/>
      <c r="F421" s="198"/>
      <c r="G421" s="198"/>
      <c r="H421" s="198"/>
      <c r="I421" s="198"/>
      <c r="J421" s="198"/>
      <c r="K421" s="198"/>
      <c r="L421" s="198"/>
      <c r="M421" s="198"/>
      <c r="N421" s="198"/>
      <c r="O421" s="198"/>
    </row>
    <row r="422" spans="4:15" x14ac:dyDescent="0.25">
      <c r="D422" s="196"/>
      <c r="E422" s="196"/>
      <c r="F422" s="198"/>
      <c r="G422" s="198"/>
      <c r="H422" s="198"/>
      <c r="I422" s="198"/>
      <c r="J422" s="198"/>
      <c r="K422" s="198"/>
      <c r="L422" s="198"/>
      <c r="M422" s="198"/>
      <c r="N422" s="198"/>
      <c r="O422" s="198"/>
    </row>
    <row r="423" spans="4:15" x14ac:dyDescent="0.25">
      <c r="D423" s="196"/>
      <c r="E423" s="196"/>
      <c r="F423" s="198"/>
      <c r="G423" s="198"/>
      <c r="H423" s="198"/>
      <c r="I423" s="198"/>
      <c r="J423" s="198"/>
      <c r="K423" s="198"/>
      <c r="L423" s="198"/>
      <c r="M423" s="198"/>
      <c r="N423" s="198"/>
      <c r="O423" s="198"/>
    </row>
    <row r="424" spans="4:15" x14ac:dyDescent="0.25">
      <c r="D424" s="196"/>
      <c r="E424" s="196"/>
      <c r="F424" s="198"/>
      <c r="G424" s="198"/>
      <c r="H424" s="198"/>
      <c r="I424" s="198"/>
      <c r="J424" s="198"/>
      <c r="K424" s="198"/>
      <c r="L424" s="198"/>
      <c r="M424" s="198"/>
      <c r="N424" s="198"/>
      <c r="O424" s="198"/>
    </row>
    <row r="425" spans="4:15" x14ac:dyDescent="0.25">
      <c r="D425" s="196"/>
      <c r="E425" s="196"/>
      <c r="F425" s="198"/>
      <c r="G425" s="198"/>
      <c r="H425" s="198"/>
      <c r="I425" s="198"/>
      <c r="J425" s="198"/>
      <c r="K425" s="198"/>
      <c r="L425" s="198"/>
      <c r="M425" s="198"/>
      <c r="N425" s="198"/>
      <c r="O425" s="198"/>
    </row>
    <row r="426" spans="4:15" x14ac:dyDescent="0.25">
      <c r="D426" s="196"/>
      <c r="E426" s="196"/>
      <c r="F426" s="198"/>
      <c r="G426" s="198"/>
      <c r="H426" s="198"/>
      <c r="I426" s="198"/>
      <c r="J426" s="198"/>
      <c r="K426" s="198"/>
      <c r="L426" s="198"/>
      <c r="M426" s="198"/>
      <c r="N426" s="198"/>
      <c r="O426" s="198"/>
    </row>
    <row r="427" spans="4:15" x14ac:dyDescent="0.25">
      <c r="D427" s="196"/>
      <c r="E427" s="196"/>
      <c r="F427" s="198"/>
      <c r="G427" s="198"/>
      <c r="H427" s="198"/>
      <c r="I427" s="198"/>
      <c r="J427" s="198"/>
      <c r="K427" s="198"/>
      <c r="L427" s="198"/>
      <c r="M427" s="198"/>
      <c r="N427" s="198"/>
      <c r="O427" s="198"/>
    </row>
    <row r="428" spans="4:15" x14ac:dyDescent="0.25">
      <c r="D428" s="196"/>
      <c r="E428" s="196"/>
      <c r="F428" s="198"/>
      <c r="G428" s="198"/>
      <c r="H428" s="198"/>
      <c r="I428" s="198"/>
      <c r="J428" s="198"/>
      <c r="K428" s="198"/>
      <c r="L428" s="198"/>
      <c r="M428" s="198"/>
      <c r="N428" s="198"/>
      <c r="O428" s="198"/>
    </row>
    <row r="429" spans="4:15" x14ac:dyDescent="0.25">
      <c r="D429" s="196"/>
      <c r="E429" s="196"/>
      <c r="F429" s="198"/>
      <c r="G429" s="198"/>
      <c r="H429" s="198"/>
      <c r="I429" s="198"/>
      <c r="J429" s="198"/>
      <c r="K429" s="198"/>
      <c r="L429" s="198"/>
      <c r="M429" s="198"/>
      <c r="N429" s="198"/>
      <c r="O429" s="198"/>
    </row>
    <row r="430" spans="4:15" x14ac:dyDescent="0.25">
      <c r="D430" s="196"/>
      <c r="E430" s="196"/>
      <c r="F430" s="198"/>
      <c r="G430" s="198"/>
      <c r="H430" s="198"/>
      <c r="I430" s="198"/>
      <c r="J430" s="198"/>
      <c r="K430" s="198"/>
      <c r="L430" s="198"/>
      <c r="M430" s="198"/>
      <c r="N430" s="198"/>
      <c r="O430" s="198"/>
    </row>
    <row r="431" spans="4:15" x14ac:dyDescent="0.25">
      <c r="D431" s="196"/>
      <c r="E431" s="196"/>
      <c r="F431" s="198"/>
      <c r="G431" s="198"/>
      <c r="H431" s="198"/>
      <c r="I431" s="198"/>
      <c r="J431" s="198"/>
      <c r="K431" s="198"/>
      <c r="L431" s="198"/>
      <c r="M431" s="198"/>
      <c r="N431" s="198"/>
      <c r="O431" s="198"/>
    </row>
    <row r="432" spans="4:15" x14ac:dyDescent="0.25">
      <c r="D432" s="196"/>
      <c r="E432" s="196"/>
      <c r="F432" s="198"/>
      <c r="G432" s="198"/>
      <c r="H432" s="198"/>
      <c r="I432" s="198"/>
      <c r="J432" s="198"/>
      <c r="K432" s="198"/>
      <c r="L432" s="198"/>
      <c r="M432" s="198"/>
      <c r="N432" s="198"/>
      <c r="O432" s="198"/>
    </row>
    <row r="433" spans="4:15" x14ac:dyDescent="0.25">
      <c r="D433" s="196"/>
      <c r="E433" s="196"/>
      <c r="F433" s="198"/>
      <c r="G433" s="198"/>
      <c r="H433" s="198"/>
      <c r="I433" s="198"/>
      <c r="J433" s="198"/>
      <c r="K433" s="198"/>
      <c r="L433" s="198"/>
      <c r="M433" s="198"/>
      <c r="N433" s="198"/>
      <c r="O433" s="198"/>
    </row>
    <row r="434" spans="4:15" x14ac:dyDescent="0.25">
      <c r="D434" s="196"/>
      <c r="E434" s="196"/>
      <c r="F434" s="198"/>
      <c r="G434" s="198"/>
      <c r="H434" s="198"/>
      <c r="I434" s="198"/>
      <c r="J434" s="198"/>
      <c r="K434" s="198"/>
      <c r="L434" s="198"/>
      <c r="M434" s="198"/>
      <c r="N434" s="198"/>
      <c r="O434" s="198"/>
    </row>
    <row r="435" spans="4:15" x14ac:dyDescent="0.25">
      <c r="D435" s="196"/>
      <c r="E435" s="196"/>
      <c r="F435" s="198"/>
      <c r="G435" s="198"/>
      <c r="H435" s="198"/>
      <c r="I435" s="198"/>
      <c r="J435" s="198"/>
      <c r="K435" s="198"/>
      <c r="L435" s="198"/>
      <c r="M435" s="198"/>
      <c r="N435" s="198"/>
      <c r="O435" s="198"/>
    </row>
    <row r="436" spans="4:15" x14ac:dyDescent="0.25">
      <c r="D436" s="196"/>
      <c r="E436" s="196"/>
      <c r="F436" s="198"/>
      <c r="G436" s="198"/>
      <c r="H436" s="198"/>
      <c r="I436" s="198"/>
      <c r="J436" s="198"/>
      <c r="K436" s="198"/>
      <c r="L436" s="198"/>
      <c r="M436" s="198"/>
      <c r="N436" s="198"/>
      <c r="O436" s="198"/>
    </row>
    <row r="437" spans="4:15" x14ac:dyDescent="0.25">
      <c r="D437" s="196"/>
      <c r="E437" s="196"/>
      <c r="F437" s="198"/>
      <c r="G437" s="198"/>
      <c r="H437" s="198"/>
      <c r="I437" s="198"/>
      <c r="J437" s="198"/>
      <c r="K437" s="198"/>
      <c r="L437" s="198"/>
      <c r="M437" s="198"/>
      <c r="N437" s="198"/>
      <c r="O437" s="198"/>
    </row>
    <row r="438" spans="4:15" x14ac:dyDescent="0.25">
      <c r="D438" s="196"/>
      <c r="E438" s="196"/>
      <c r="F438" s="198"/>
      <c r="G438" s="198"/>
      <c r="H438" s="198"/>
      <c r="I438" s="198"/>
      <c r="J438" s="198"/>
      <c r="K438" s="198"/>
      <c r="L438" s="198"/>
      <c r="M438" s="198"/>
      <c r="N438" s="198"/>
      <c r="O438" s="198"/>
    </row>
    <row r="439" spans="4:15" x14ac:dyDescent="0.25">
      <c r="D439" s="196"/>
      <c r="E439" s="196"/>
      <c r="F439" s="198"/>
      <c r="G439" s="198"/>
      <c r="H439" s="198"/>
      <c r="I439" s="198"/>
      <c r="J439" s="198"/>
      <c r="K439" s="198"/>
      <c r="L439" s="198"/>
      <c r="M439" s="198"/>
      <c r="N439" s="198"/>
      <c r="O439" s="198"/>
    </row>
    <row r="440" spans="4:15" x14ac:dyDescent="0.25">
      <c r="D440" s="196"/>
      <c r="E440" s="196"/>
      <c r="F440" s="198"/>
      <c r="G440" s="198"/>
      <c r="H440" s="198"/>
      <c r="I440" s="198"/>
      <c r="J440" s="198"/>
      <c r="K440" s="198"/>
      <c r="L440" s="198"/>
      <c r="M440" s="198"/>
      <c r="N440" s="198"/>
      <c r="O440" s="198"/>
    </row>
    <row r="441" spans="4:15" x14ac:dyDescent="0.25">
      <c r="D441" s="196"/>
      <c r="E441" s="196"/>
      <c r="F441" s="198"/>
      <c r="G441" s="198"/>
      <c r="H441" s="198"/>
      <c r="I441" s="198"/>
      <c r="J441" s="198"/>
      <c r="K441" s="198"/>
      <c r="L441" s="198"/>
      <c r="M441" s="198"/>
      <c r="N441" s="198"/>
      <c r="O441" s="198"/>
    </row>
    <row r="442" spans="4:15" x14ac:dyDescent="0.25">
      <c r="D442" s="196"/>
      <c r="E442" s="196"/>
      <c r="F442" s="198"/>
      <c r="G442" s="198"/>
      <c r="H442" s="198"/>
      <c r="I442" s="198"/>
      <c r="J442" s="198"/>
      <c r="K442" s="198"/>
      <c r="L442" s="198"/>
      <c r="M442" s="198"/>
      <c r="N442" s="198"/>
      <c r="O442" s="198"/>
    </row>
    <row r="443" spans="4:15" x14ac:dyDescent="0.25">
      <c r="D443" s="196"/>
      <c r="E443" s="196"/>
      <c r="F443" s="198"/>
      <c r="G443" s="198"/>
      <c r="H443" s="198"/>
      <c r="I443" s="198"/>
      <c r="J443" s="198"/>
      <c r="K443" s="198"/>
      <c r="L443" s="198"/>
      <c r="M443" s="198"/>
      <c r="N443" s="198"/>
      <c r="O443" s="198"/>
    </row>
    <row r="444" spans="4:15" x14ac:dyDescent="0.25">
      <c r="D444" s="196"/>
      <c r="E444" s="196"/>
      <c r="F444" s="198"/>
      <c r="G444" s="198"/>
      <c r="H444" s="198"/>
      <c r="I444" s="198"/>
      <c r="J444" s="198"/>
      <c r="K444" s="198"/>
      <c r="L444" s="198"/>
      <c r="M444" s="198"/>
      <c r="N444" s="198"/>
      <c r="O444" s="198"/>
    </row>
    <row r="445" spans="4:15" x14ac:dyDescent="0.25">
      <c r="D445" s="196"/>
      <c r="E445" s="196"/>
      <c r="F445" s="198"/>
      <c r="G445" s="198"/>
      <c r="H445" s="198"/>
      <c r="I445" s="198"/>
      <c r="J445" s="198"/>
      <c r="K445" s="198"/>
      <c r="L445" s="198"/>
      <c r="M445" s="198"/>
      <c r="N445" s="198"/>
      <c r="O445" s="198"/>
    </row>
    <row r="446" spans="4:15" x14ac:dyDescent="0.25">
      <c r="D446" s="196"/>
      <c r="E446" s="196"/>
      <c r="F446" s="198"/>
      <c r="G446" s="198"/>
      <c r="H446" s="198"/>
      <c r="I446" s="198"/>
      <c r="J446" s="198"/>
      <c r="K446" s="198"/>
      <c r="L446" s="198"/>
      <c r="M446" s="198"/>
      <c r="N446" s="198"/>
      <c r="O446" s="198"/>
    </row>
    <row r="447" spans="4:15" x14ac:dyDescent="0.25">
      <c r="D447" s="196"/>
      <c r="E447" s="196"/>
      <c r="F447" s="198"/>
      <c r="G447" s="198"/>
      <c r="H447" s="198"/>
      <c r="I447" s="198"/>
      <c r="J447" s="198"/>
      <c r="K447" s="198"/>
      <c r="L447" s="198"/>
      <c r="M447" s="198"/>
      <c r="N447" s="198"/>
      <c r="O447" s="198"/>
    </row>
    <row r="448" spans="4:15" x14ac:dyDescent="0.25">
      <c r="D448" s="196"/>
      <c r="E448" s="196"/>
      <c r="F448" s="198"/>
      <c r="G448" s="198"/>
      <c r="H448" s="198"/>
      <c r="I448" s="198"/>
      <c r="J448" s="198"/>
      <c r="K448" s="198"/>
      <c r="L448" s="198"/>
      <c r="M448" s="198"/>
      <c r="N448" s="198"/>
      <c r="O448" s="198"/>
    </row>
    <row r="449" spans="4:15" x14ac:dyDescent="0.25">
      <c r="D449" s="196"/>
      <c r="E449" s="196"/>
      <c r="F449" s="198"/>
      <c r="G449" s="198"/>
      <c r="H449" s="198"/>
      <c r="I449" s="198"/>
      <c r="J449" s="198"/>
      <c r="K449" s="198"/>
      <c r="L449" s="198"/>
      <c r="M449" s="198"/>
      <c r="N449" s="198"/>
      <c r="O449" s="198"/>
    </row>
    <row r="450" spans="4:15" x14ac:dyDescent="0.25">
      <c r="D450" s="196"/>
      <c r="E450" s="196"/>
      <c r="F450" s="198"/>
      <c r="G450" s="198"/>
      <c r="H450" s="198"/>
      <c r="I450" s="198"/>
      <c r="J450" s="198"/>
      <c r="K450" s="198"/>
      <c r="L450" s="198"/>
      <c r="M450" s="198"/>
      <c r="N450" s="198"/>
      <c r="O450" s="198"/>
    </row>
    <row r="451" spans="4:15" x14ac:dyDescent="0.25">
      <c r="D451" s="196"/>
      <c r="E451" s="196"/>
      <c r="F451" s="198"/>
      <c r="G451" s="198"/>
      <c r="H451" s="198"/>
      <c r="I451" s="198"/>
      <c r="J451" s="198"/>
      <c r="K451" s="198"/>
      <c r="L451" s="198"/>
      <c r="M451" s="198"/>
      <c r="N451" s="198"/>
      <c r="O451" s="198"/>
    </row>
    <row r="452" spans="4:15" x14ac:dyDescent="0.25">
      <c r="D452" s="196"/>
      <c r="E452" s="196"/>
      <c r="F452" s="198"/>
      <c r="G452" s="198"/>
      <c r="H452" s="198"/>
      <c r="I452" s="198"/>
      <c r="J452" s="198"/>
      <c r="K452" s="198"/>
      <c r="L452" s="198"/>
      <c r="M452" s="198"/>
      <c r="N452" s="198"/>
      <c r="O452" s="198"/>
    </row>
    <row r="453" spans="4:15" x14ac:dyDescent="0.25">
      <c r="D453" s="196"/>
      <c r="E453" s="196"/>
      <c r="F453" s="198"/>
      <c r="G453" s="198"/>
      <c r="H453" s="198"/>
      <c r="I453" s="198"/>
      <c r="J453" s="198"/>
      <c r="K453" s="198"/>
      <c r="L453" s="198"/>
      <c r="M453" s="198"/>
      <c r="N453" s="198"/>
      <c r="O453" s="198"/>
    </row>
    <row r="454" spans="4:15" x14ac:dyDescent="0.25">
      <c r="D454" s="196"/>
      <c r="E454" s="196"/>
      <c r="F454" s="198"/>
      <c r="G454" s="198"/>
      <c r="H454" s="198"/>
      <c r="I454" s="198"/>
      <c r="J454" s="198"/>
      <c r="K454" s="198"/>
      <c r="L454" s="198"/>
      <c r="M454" s="198"/>
      <c r="N454" s="198"/>
      <c r="O454" s="198"/>
    </row>
    <row r="455" spans="4:15" x14ac:dyDescent="0.25">
      <c r="D455" s="196"/>
      <c r="E455" s="196"/>
      <c r="F455" s="198"/>
      <c r="G455" s="198"/>
      <c r="H455" s="198"/>
      <c r="I455" s="198"/>
      <c r="J455" s="198"/>
      <c r="K455" s="198"/>
      <c r="L455" s="198"/>
      <c r="M455" s="198"/>
      <c r="N455" s="198"/>
      <c r="O455" s="198"/>
    </row>
    <row r="456" spans="4:15" x14ac:dyDescent="0.25">
      <c r="D456" s="196"/>
      <c r="E456" s="196"/>
      <c r="F456" s="198"/>
      <c r="G456" s="198"/>
      <c r="H456" s="198"/>
      <c r="I456" s="198"/>
      <c r="J456" s="198"/>
      <c r="K456" s="198"/>
      <c r="L456" s="198"/>
      <c r="M456" s="198"/>
      <c r="N456" s="198"/>
      <c r="O456" s="198"/>
    </row>
    <row r="457" spans="4:15" x14ac:dyDescent="0.25">
      <c r="D457" s="196"/>
      <c r="E457" s="196"/>
      <c r="F457" s="198"/>
      <c r="G457" s="198"/>
      <c r="H457" s="198"/>
      <c r="I457" s="198"/>
      <c r="J457" s="198"/>
      <c r="K457" s="198"/>
      <c r="L457" s="198"/>
      <c r="M457" s="198"/>
      <c r="N457" s="198"/>
      <c r="O457" s="198"/>
    </row>
    <row r="458" spans="4:15" x14ac:dyDescent="0.25">
      <c r="D458" s="196"/>
      <c r="E458" s="196"/>
      <c r="F458" s="198"/>
      <c r="G458" s="198"/>
      <c r="H458" s="198"/>
      <c r="I458" s="198"/>
      <c r="J458" s="198"/>
      <c r="K458" s="198"/>
      <c r="L458" s="198"/>
      <c r="M458" s="198"/>
      <c r="N458" s="198"/>
      <c r="O458" s="198"/>
    </row>
    <row r="459" spans="4:15" x14ac:dyDescent="0.25">
      <c r="D459" s="196"/>
      <c r="E459" s="196"/>
      <c r="F459" s="198"/>
      <c r="G459" s="198"/>
      <c r="H459" s="198"/>
      <c r="I459" s="198"/>
      <c r="J459" s="198"/>
      <c r="K459" s="198"/>
      <c r="L459" s="198"/>
      <c r="M459" s="198"/>
      <c r="N459" s="198"/>
      <c r="O459" s="198"/>
    </row>
    <row r="460" spans="4:15" x14ac:dyDescent="0.25">
      <c r="D460" s="196"/>
      <c r="E460" s="196"/>
      <c r="F460" s="198"/>
      <c r="G460" s="198"/>
      <c r="H460" s="198"/>
      <c r="I460" s="198"/>
      <c r="J460" s="198"/>
      <c r="K460" s="198"/>
      <c r="L460" s="198"/>
      <c r="M460" s="198"/>
      <c r="N460" s="198"/>
      <c r="O460" s="198"/>
    </row>
    <row r="461" spans="4:15" x14ac:dyDescent="0.25">
      <c r="D461" s="196"/>
      <c r="E461" s="196"/>
      <c r="F461" s="198"/>
      <c r="G461" s="198"/>
      <c r="H461" s="198"/>
      <c r="I461" s="198"/>
      <c r="J461" s="198"/>
      <c r="K461" s="198"/>
      <c r="L461" s="198"/>
      <c r="M461" s="198"/>
      <c r="N461" s="198"/>
      <c r="O461" s="198"/>
    </row>
    <row r="462" spans="4:15" x14ac:dyDescent="0.25">
      <c r="D462" s="196"/>
      <c r="E462" s="196"/>
      <c r="F462" s="198"/>
      <c r="G462" s="198"/>
      <c r="H462" s="198"/>
      <c r="I462" s="198"/>
      <c r="J462" s="198"/>
      <c r="K462" s="198"/>
      <c r="L462" s="198"/>
      <c r="M462" s="198"/>
      <c r="N462" s="198"/>
      <c r="O462" s="198"/>
    </row>
    <row r="463" spans="4:15" x14ac:dyDescent="0.25">
      <c r="D463" s="196"/>
      <c r="E463" s="196"/>
      <c r="F463" s="198"/>
      <c r="G463" s="198"/>
      <c r="H463" s="198"/>
      <c r="I463" s="198"/>
      <c r="J463" s="198"/>
      <c r="K463" s="198"/>
      <c r="L463" s="198"/>
      <c r="M463" s="198"/>
      <c r="N463" s="198"/>
      <c r="O463" s="198"/>
    </row>
    <row r="464" spans="4:15" x14ac:dyDescent="0.25">
      <c r="D464" s="196"/>
      <c r="E464" s="196"/>
      <c r="F464" s="198"/>
      <c r="G464" s="198"/>
      <c r="H464" s="198"/>
      <c r="I464" s="198"/>
      <c r="J464" s="198"/>
      <c r="K464" s="198"/>
      <c r="L464" s="198"/>
      <c r="M464" s="198"/>
      <c r="N464" s="198"/>
      <c r="O464" s="198"/>
    </row>
    <row r="465" spans="4:15" x14ac:dyDescent="0.25">
      <c r="D465" s="196"/>
      <c r="E465" s="196"/>
      <c r="F465" s="198"/>
      <c r="G465" s="198"/>
      <c r="H465" s="198"/>
      <c r="I465" s="198"/>
      <c r="J465" s="198"/>
      <c r="K465" s="198"/>
      <c r="L465" s="198"/>
      <c r="M465" s="198"/>
      <c r="N465" s="198"/>
      <c r="O465" s="198"/>
    </row>
    <row r="466" spans="4:15" x14ac:dyDescent="0.25">
      <c r="D466" s="196"/>
      <c r="E466" s="196"/>
      <c r="F466" s="198"/>
      <c r="G466" s="198"/>
      <c r="H466" s="198"/>
      <c r="I466" s="198"/>
      <c r="J466" s="198"/>
      <c r="K466" s="198"/>
      <c r="L466" s="198"/>
      <c r="M466" s="198"/>
      <c r="N466" s="198"/>
      <c r="O466" s="198"/>
    </row>
    <row r="467" spans="4:15" x14ac:dyDescent="0.25">
      <c r="D467" s="196"/>
      <c r="E467" s="196"/>
      <c r="F467" s="198"/>
      <c r="G467" s="198"/>
      <c r="H467" s="198"/>
      <c r="I467" s="198"/>
      <c r="J467" s="198"/>
      <c r="K467" s="198"/>
      <c r="L467" s="198"/>
      <c r="M467" s="198"/>
      <c r="N467" s="198"/>
      <c r="O467" s="198"/>
    </row>
    <row r="468" spans="4:15" x14ac:dyDescent="0.25">
      <c r="D468" s="196"/>
      <c r="E468" s="196"/>
      <c r="F468" s="198"/>
      <c r="G468" s="198"/>
      <c r="H468" s="198"/>
      <c r="I468" s="198"/>
      <c r="J468" s="198"/>
      <c r="K468" s="198"/>
      <c r="L468" s="198"/>
      <c r="M468" s="198"/>
      <c r="N468" s="198"/>
      <c r="O468" s="198"/>
    </row>
    <row r="469" spans="4:15" x14ac:dyDescent="0.25">
      <c r="D469" s="196"/>
      <c r="E469" s="196"/>
      <c r="F469" s="198"/>
      <c r="G469" s="198"/>
      <c r="H469" s="198"/>
      <c r="I469" s="198"/>
      <c r="J469" s="198"/>
      <c r="K469" s="198"/>
      <c r="L469" s="198"/>
      <c r="M469" s="198"/>
      <c r="N469" s="198"/>
      <c r="O469" s="198"/>
    </row>
    <row r="470" spans="4:15" x14ac:dyDescent="0.25">
      <c r="D470" s="196"/>
      <c r="E470" s="196"/>
      <c r="F470" s="198"/>
      <c r="G470" s="198"/>
      <c r="H470" s="198"/>
      <c r="I470" s="198"/>
      <c r="J470" s="198"/>
      <c r="K470" s="198"/>
      <c r="L470" s="198"/>
      <c r="M470" s="198"/>
      <c r="N470" s="198"/>
      <c r="O470" s="198"/>
    </row>
    <row r="471" spans="4:15" x14ac:dyDescent="0.25">
      <c r="D471" s="196"/>
      <c r="E471" s="196"/>
      <c r="F471" s="198"/>
      <c r="G471" s="198"/>
      <c r="H471" s="198"/>
      <c r="I471" s="198"/>
      <c r="J471" s="198"/>
      <c r="K471" s="198"/>
      <c r="L471" s="198"/>
      <c r="M471" s="198"/>
      <c r="N471" s="198"/>
      <c r="O471" s="198"/>
    </row>
    <row r="472" spans="4:15" x14ac:dyDescent="0.25">
      <c r="D472" s="196"/>
      <c r="E472" s="196"/>
      <c r="F472" s="198"/>
      <c r="G472" s="198"/>
      <c r="H472" s="198"/>
      <c r="I472" s="198"/>
      <c r="J472" s="198"/>
      <c r="K472" s="198"/>
      <c r="L472" s="198"/>
      <c r="M472" s="198"/>
      <c r="N472" s="198"/>
      <c r="O472" s="198"/>
    </row>
    <row r="473" spans="4:15" x14ac:dyDescent="0.25">
      <c r="D473" s="196"/>
      <c r="E473" s="196"/>
      <c r="F473" s="198"/>
      <c r="G473" s="198"/>
      <c r="H473" s="198"/>
      <c r="I473" s="198"/>
      <c r="J473" s="198"/>
      <c r="K473" s="198"/>
      <c r="L473" s="198"/>
      <c r="M473" s="198"/>
      <c r="N473" s="198"/>
      <c r="O473" s="198"/>
    </row>
    <row r="474" spans="4:15" x14ac:dyDescent="0.25">
      <c r="D474" s="196"/>
      <c r="E474" s="196"/>
      <c r="F474" s="198"/>
      <c r="G474" s="198"/>
      <c r="H474" s="198"/>
      <c r="I474" s="198"/>
      <c r="J474" s="198"/>
      <c r="K474" s="198"/>
      <c r="L474" s="198"/>
      <c r="M474" s="198"/>
      <c r="N474" s="198"/>
      <c r="O474" s="198"/>
    </row>
    <row r="475" spans="4:15" x14ac:dyDescent="0.25">
      <c r="D475" s="196"/>
      <c r="E475" s="196"/>
      <c r="F475" s="198"/>
      <c r="G475" s="198"/>
      <c r="H475" s="198"/>
      <c r="I475" s="198"/>
      <c r="J475" s="198"/>
      <c r="K475" s="198"/>
      <c r="L475" s="198"/>
      <c r="M475" s="198"/>
      <c r="N475" s="198"/>
      <c r="O475" s="198"/>
    </row>
    <row r="476" spans="4:15" x14ac:dyDescent="0.25">
      <c r="D476" s="196"/>
      <c r="E476" s="196"/>
      <c r="F476" s="198"/>
      <c r="G476" s="198"/>
      <c r="H476" s="198"/>
      <c r="I476" s="198"/>
      <c r="J476" s="198"/>
      <c r="K476" s="198"/>
      <c r="L476" s="198"/>
      <c r="M476" s="198"/>
      <c r="N476" s="198"/>
      <c r="O476" s="198"/>
    </row>
    <row r="477" spans="4:15" x14ac:dyDescent="0.25">
      <c r="D477" s="196"/>
      <c r="E477" s="196"/>
      <c r="F477" s="198"/>
      <c r="G477" s="198"/>
      <c r="H477" s="198"/>
      <c r="I477" s="198"/>
      <c r="J477" s="198"/>
      <c r="K477" s="198"/>
      <c r="L477" s="198"/>
      <c r="M477" s="198"/>
      <c r="N477" s="198"/>
      <c r="O477" s="198"/>
    </row>
    <row r="478" spans="4:15" x14ac:dyDescent="0.25">
      <c r="D478" s="196"/>
      <c r="E478" s="196"/>
      <c r="F478" s="198"/>
      <c r="G478" s="198"/>
      <c r="H478" s="198"/>
      <c r="I478" s="198"/>
      <c r="J478" s="198"/>
      <c r="K478" s="198"/>
      <c r="L478" s="198"/>
      <c r="M478" s="198"/>
      <c r="N478" s="198"/>
      <c r="O478" s="198"/>
    </row>
    <row r="479" spans="4:15" x14ac:dyDescent="0.25">
      <c r="D479" s="196"/>
      <c r="E479" s="196"/>
      <c r="F479" s="198"/>
      <c r="G479" s="198"/>
      <c r="H479" s="198"/>
      <c r="I479" s="198"/>
      <c r="J479" s="198"/>
      <c r="K479" s="198"/>
      <c r="L479" s="198"/>
      <c r="M479" s="198"/>
      <c r="N479" s="198"/>
      <c r="O479" s="198"/>
    </row>
    <row r="480" spans="4:15" x14ac:dyDescent="0.25">
      <c r="D480" s="196"/>
      <c r="E480" s="196"/>
      <c r="F480" s="198"/>
      <c r="G480" s="198"/>
      <c r="H480" s="198"/>
      <c r="I480" s="198"/>
      <c r="J480" s="198"/>
      <c r="K480" s="198"/>
      <c r="L480" s="198"/>
      <c r="M480" s="198"/>
      <c r="N480" s="198"/>
      <c r="O480" s="198"/>
    </row>
    <row r="481" spans="4:15" x14ac:dyDescent="0.25">
      <c r="D481" s="196"/>
      <c r="E481" s="196"/>
      <c r="F481" s="198"/>
      <c r="G481" s="198"/>
      <c r="H481" s="198"/>
      <c r="I481" s="198"/>
      <c r="J481" s="198"/>
      <c r="K481" s="198"/>
      <c r="L481" s="198"/>
      <c r="M481" s="198"/>
      <c r="N481" s="198"/>
      <c r="O481" s="198"/>
    </row>
    <row r="482" spans="4:15" x14ac:dyDescent="0.25">
      <c r="D482" s="196"/>
      <c r="E482" s="196"/>
      <c r="F482" s="198"/>
      <c r="G482" s="198"/>
      <c r="H482" s="198"/>
      <c r="I482" s="198"/>
      <c r="J482" s="198"/>
      <c r="K482" s="198"/>
      <c r="L482" s="198"/>
      <c r="M482" s="198"/>
      <c r="N482" s="198"/>
      <c r="O482" s="198"/>
    </row>
    <row r="483" spans="4:15" x14ac:dyDescent="0.25">
      <c r="D483" s="196"/>
      <c r="E483" s="196"/>
      <c r="F483" s="198"/>
      <c r="G483" s="198"/>
      <c r="H483" s="198"/>
      <c r="I483" s="198"/>
      <c r="J483" s="198"/>
      <c r="K483" s="198"/>
      <c r="L483" s="198"/>
      <c r="M483" s="198"/>
      <c r="N483" s="198"/>
      <c r="O483" s="198"/>
    </row>
    <row r="484" spans="4:15" x14ac:dyDescent="0.25">
      <c r="D484" s="196"/>
      <c r="E484" s="196"/>
      <c r="F484" s="198"/>
      <c r="G484" s="198"/>
      <c r="H484" s="198"/>
      <c r="I484" s="198"/>
      <c r="J484" s="198"/>
      <c r="K484" s="198"/>
      <c r="L484" s="198"/>
      <c r="M484" s="198"/>
      <c r="N484" s="198"/>
      <c r="O484" s="198"/>
    </row>
    <row r="485" spans="4:15" x14ac:dyDescent="0.25">
      <c r="D485" s="196"/>
      <c r="E485" s="196"/>
      <c r="F485" s="198"/>
      <c r="G485" s="198"/>
      <c r="H485" s="198"/>
      <c r="I485" s="198"/>
      <c r="J485" s="198"/>
      <c r="K485" s="198"/>
      <c r="L485" s="198"/>
      <c r="M485" s="198"/>
      <c r="N485" s="198"/>
      <c r="O485" s="198"/>
    </row>
    <row r="486" spans="4:15" x14ac:dyDescent="0.25">
      <c r="D486" s="196"/>
      <c r="E486" s="196"/>
      <c r="F486" s="198"/>
      <c r="G486" s="198"/>
      <c r="H486" s="198"/>
      <c r="I486" s="198"/>
      <c r="J486" s="198"/>
      <c r="K486" s="198"/>
      <c r="L486" s="198"/>
      <c r="M486" s="198"/>
      <c r="N486" s="198"/>
      <c r="O486" s="198"/>
    </row>
    <row r="487" spans="4:15" x14ac:dyDescent="0.25">
      <c r="D487" s="196"/>
      <c r="E487" s="196"/>
      <c r="F487" s="198"/>
      <c r="G487" s="198"/>
      <c r="H487" s="198"/>
      <c r="I487" s="198"/>
      <c r="J487" s="198"/>
      <c r="K487" s="198"/>
      <c r="L487" s="198"/>
      <c r="M487" s="198"/>
      <c r="N487" s="198"/>
      <c r="O487" s="198"/>
    </row>
    <row r="488" spans="4:15" x14ac:dyDescent="0.25">
      <c r="D488" s="196"/>
      <c r="E488" s="196"/>
      <c r="F488" s="198"/>
      <c r="G488" s="198"/>
      <c r="H488" s="198"/>
      <c r="I488" s="198"/>
      <c r="J488" s="198"/>
      <c r="K488" s="198"/>
      <c r="L488" s="198"/>
      <c r="M488" s="198"/>
      <c r="N488" s="198"/>
      <c r="O488" s="198"/>
    </row>
    <row r="489" spans="4:15" x14ac:dyDescent="0.25">
      <c r="D489" s="196"/>
      <c r="E489" s="196"/>
      <c r="F489" s="198"/>
      <c r="G489" s="198"/>
      <c r="H489" s="198"/>
      <c r="I489" s="198"/>
      <c r="J489" s="198"/>
      <c r="K489" s="198"/>
      <c r="L489" s="198"/>
      <c r="M489" s="198"/>
      <c r="N489" s="198"/>
      <c r="O489" s="198"/>
    </row>
    <row r="490" spans="4:15" x14ac:dyDescent="0.25">
      <c r="D490" s="196"/>
      <c r="E490" s="196"/>
      <c r="F490" s="198"/>
      <c r="G490" s="198"/>
      <c r="H490" s="198"/>
      <c r="I490" s="198"/>
      <c r="J490" s="198"/>
      <c r="K490" s="198"/>
      <c r="L490" s="198"/>
      <c r="M490" s="198"/>
      <c r="N490" s="198"/>
      <c r="O490" s="198"/>
    </row>
    <row r="491" spans="4:15" x14ac:dyDescent="0.25">
      <c r="D491" s="196"/>
      <c r="E491" s="196"/>
      <c r="F491" s="198"/>
      <c r="G491" s="198"/>
      <c r="H491" s="198"/>
      <c r="I491" s="198"/>
      <c r="J491" s="198"/>
      <c r="K491" s="198"/>
      <c r="L491" s="198"/>
      <c r="M491" s="198"/>
      <c r="N491" s="198"/>
      <c r="O491" s="198"/>
    </row>
    <row r="492" spans="4:15" x14ac:dyDescent="0.25">
      <c r="D492" s="196"/>
      <c r="E492" s="196"/>
      <c r="F492" s="198"/>
      <c r="G492" s="198"/>
      <c r="H492" s="198"/>
      <c r="I492" s="198"/>
      <c r="J492" s="198"/>
      <c r="K492" s="198"/>
      <c r="L492" s="198"/>
      <c r="M492" s="198"/>
      <c r="N492" s="198"/>
      <c r="O492" s="198"/>
    </row>
    <row r="493" spans="4:15" x14ac:dyDescent="0.25">
      <c r="D493" s="196"/>
      <c r="E493" s="196"/>
      <c r="F493" s="198"/>
      <c r="G493" s="198"/>
      <c r="H493" s="198"/>
      <c r="I493" s="198"/>
      <c r="J493" s="198"/>
      <c r="K493" s="198"/>
      <c r="L493" s="198"/>
      <c r="M493" s="198"/>
      <c r="N493" s="198"/>
      <c r="O493" s="198"/>
    </row>
    <row r="494" spans="4:15" x14ac:dyDescent="0.25">
      <c r="D494" s="196"/>
      <c r="E494" s="196"/>
      <c r="F494" s="198"/>
      <c r="G494" s="198"/>
      <c r="H494" s="198"/>
      <c r="I494" s="198"/>
      <c r="J494" s="198"/>
      <c r="K494" s="198"/>
      <c r="L494" s="198"/>
      <c r="M494" s="198"/>
      <c r="N494" s="198"/>
      <c r="O494" s="198"/>
    </row>
    <row r="495" spans="4:15" x14ac:dyDescent="0.25">
      <c r="D495" s="196"/>
      <c r="E495" s="196"/>
      <c r="F495" s="198"/>
      <c r="G495" s="198"/>
      <c r="H495" s="198"/>
      <c r="I495" s="198"/>
      <c r="J495" s="198"/>
      <c r="K495" s="198"/>
      <c r="L495" s="198"/>
      <c r="M495" s="198"/>
      <c r="N495" s="198"/>
      <c r="O495" s="198"/>
    </row>
    <row r="496" spans="4:15" x14ac:dyDescent="0.25">
      <c r="D496" s="196"/>
      <c r="E496" s="196"/>
      <c r="F496" s="198"/>
      <c r="G496" s="198"/>
      <c r="H496" s="198"/>
      <c r="I496" s="198"/>
      <c r="J496" s="198"/>
      <c r="K496" s="198"/>
      <c r="L496" s="198"/>
      <c r="M496" s="198"/>
      <c r="N496" s="198"/>
      <c r="O496" s="198"/>
    </row>
    <row r="497" spans="4:15" x14ac:dyDescent="0.25">
      <c r="D497" s="196"/>
      <c r="E497" s="196"/>
      <c r="F497" s="198"/>
      <c r="G497" s="198"/>
      <c r="H497" s="198"/>
      <c r="I497" s="198"/>
      <c r="J497" s="198"/>
      <c r="K497" s="198"/>
      <c r="L497" s="198"/>
      <c r="M497" s="198"/>
      <c r="N497" s="198"/>
      <c r="O497" s="198"/>
    </row>
    <row r="498" spans="4:15" x14ac:dyDescent="0.25">
      <c r="D498" s="196"/>
      <c r="E498" s="196"/>
      <c r="F498" s="198"/>
      <c r="G498" s="198"/>
      <c r="H498" s="198"/>
      <c r="I498" s="198"/>
      <c r="J498" s="198"/>
      <c r="K498" s="198"/>
      <c r="L498" s="198"/>
      <c r="M498" s="198"/>
      <c r="N498" s="198"/>
      <c r="O498" s="198"/>
    </row>
    <row r="499" spans="4:15" x14ac:dyDescent="0.25">
      <c r="D499" s="196"/>
      <c r="E499" s="196"/>
      <c r="F499" s="198"/>
      <c r="G499" s="198"/>
      <c r="H499" s="198"/>
      <c r="I499" s="198"/>
      <c r="J499" s="198"/>
      <c r="K499" s="198"/>
      <c r="L499" s="198"/>
      <c r="M499" s="198"/>
      <c r="N499" s="198"/>
      <c r="O499" s="198"/>
    </row>
    <row r="500" spans="4:15" x14ac:dyDescent="0.25">
      <c r="D500" s="196"/>
      <c r="E500" s="196"/>
      <c r="F500" s="198"/>
      <c r="G500" s="198"/>
      <c r="H500" s="198"/>
      <c r="I500" s="198"/>
      <c r="J500" s="198"/>
      <c r="K500" s="198"/>
      <c r="L500" s="198"/>
      <c r="M500" s="198"/>
      <c r="N500" s="198"/>
      <c r="O500" s="198"/>
    </row>
    <row r="501" spans="4:15" x14ac:dyDescent="0.25">
      <c r="D501" s="196"/>
      <c r="E501" s="196"/>
      <c r="F501" s="198"/>
      <c r="G501" s="198"/>
      <c r="H501" s="198"/>
      <c r="I501" s="198"/>
      <c r="J501" s="198"/>
      <c r="K501" s="198"/>
      <c r="L501" s="198"/>
      <c r="M501" s="198"/>
      <c r="N501" s="198"/>
      <c r="O501" s="198"/>
    </row>
    <row r="502" spans="4:15" x14ac:dyDescent="0.25">
      <c r="D502" s="196"/>
      <c r="E502" s="196"/>
      <c r="F502" s="198"/>
      <c r="G502" s="198"/>
      <c r="H502" s="198"/>
      <c r="I502" s="198"/>
      <c r="J502" s="198"/>
      <c r="K502" s="198"/>
      <c r="L502" s="198"/>
      <c r="M502" s="198"/>
      <c r="N502" s="198"/>
      <c r="O502" s="198"/>
    </row>
    <row r="503" spans="4:15" x14ac:dyDescent="0.25">
      <c r="D503" s="196"/>
      <c r="E503" s="196"/>
      <c r="F503" s="198"/>
      <c r="G503" s="198"/>
      <c r="H503" s="198"/>
      <c r="I503" s="198"/>
      <c r="J503" s="198"/>
      <c r="K503" s="198"/>
      <c r="L503" s="198"/>
      <c r="M503" s="198"/>
      <c r="N503" s="198"/>
      <c r="O503" s="198"/>
    </row>
    <row r="504" spans="4:15" x14ac:dyDescent="0.25">
      <c r="D504" s="196"/>
      <c r="E504" s="196"/>
      <c r="F504" s="198"/>
      <c r="G504" s="198"/>
      <c r="H504" s="198"/>
      <c r="I504" s="198"/>
      <c r="J504" s="198"/>
      <c r="K504" s="198"/>
      <c r="L504" s="198"/>
      <c r="M504" s="198"/>
      <c r="N504" s="198"/>
      <c r="O504" s="198"/>
    </row>
    <row r="505" spans="4:15" x14ac:dyDescent="0.25">
      <c r="D505" s="196"/>
      <c r="E505" s="196"/>
      <c r="F505" s="198"/>
      <c r="G505" s="198"/>
      <c r="H505" s="198"/>
      <c r="I505" s="198"/>
      <c r="J505" s="198"/>
      <c r="K505" s="198"/>
      <c r="L505" s="198"/>
      <c r="M505" s="198"/>
      <c r="N505" s="198"/>
      <c r="O505" s="198"/>
    </row>
    <row r="506" spans="4:15" x14ac:dyDescent="0.25">
      <c r="D506" s="196"/>
      <c r="E506" s="196"/>
      <c r="F506" s="198"/>
      <c r="G506" s="198"/>
      <c r="H506" s="198"/>
      <c r="I506" s="198"/>
      <c r="J506" s="198"/>
      <c r="K506" s="198"/>
      <c r="L506" s="198"/>
      <c r="M506" s="198"/>
      <c r="N506" s="198"/>
      <c r="O506" s="198"/>
    </row>
    <row r="507" spans="4:15" x14ac:dyDescent="0.25">
      <c r="D507" s="196"/>
      <c r="E507" s="196"/>
      <c r="F507" s="198"/>
      <c r="G507" s="198"/>
      <c r="H507" s="198"/>
      <c r="I507" s="198"/>
      <c r="J507" s="198"/>
      <c r="K507" s="198"/>
      <c r="L507" s="198"/>
      <c r="M507" s="198"/>
      <c r="N507" s="198"/>
      <c r="O507" s="198"/>
    </row>
    <row r="508" spans="4:15" x14ac:dyDescent="0.25">
      <c r="D508" s="196"/>
      <c r="E508" s="196"/>
      <c r="F508" s="198"/>
      <c r="G508" s="198"/>
      <c r="H508" s="198"/>
      <c r="I508" s="198"/>
      <c r="J508" s="198"/>
      <c r="K508" s="198"/>
      <c r="L508" s="198"/>
      <c r="M508" s="198"/>
      <c r="N508" s="198"/>
      <c r="O508" s="198"/>
    </row>
    <row r="509" spans="4:15" x14ac:dyDescent="0.25">
      <c r="D509" s="196"/>
      <c r="E509" s="196"/>
      <c r="F509" s="198"/>
      <c r="G509" s="198"/>
      <c r="H509" s="198"/>
      <c r="I509" s="198"/>
      <c r="J509" s="198"/>
      <c r="K509" s="198"/>
      <c r="L509" s="198"/>
      <c r="M509" s="198"/>
      <c r="N509" s="198"/>
      <c r="O509" s="198"/>
    </row>
    <row r="510" spans="4:15" x14ac:dyDescent="0.25">
      <c r="D510" s="196"/>
      <c r="E510" s="196"/>
      <c r="F510" s="198"/>
      <c r="G510" s="198"/>
      <c r="H510" s="198"/>
      <c r="I510" s="198"/>
      <c r="J510" s="198"/>
      <c r="K510" s="198"/>
      <c r="L510" s="198"/>
      <c r="M510" s="198"/>
      <c r="N510" s="198"/>
      <c r="O510" s="198"/>
    </row>
    <row r="511" spans="4:15" x14ac:dyDescent="0.25">
      <c r="D511" s="196"/>
      <c r="E511" s="196"/>
      <c r="F511" s="198"/>
      <c r="G511" s="198"/>
      <c r="H511" s="198"/>
      <c r="I511" s="198"/>
      <c r="J511" s="198"/>
      <c r="K511" s="198"/>
      <c r="L511" s="198"/>
      <c r="M511" s="198"/>
      <c r="N511" s="198"/>
      <c r="O511" s="198"/>
    </row>
    <row r="512" spans="4:15" x14ac:dyDescent="0.25">
      <c r="D512" s="196"/>
      <c r="E512" s="196"/>
      <c r="F512" s="198"/>
      <c r="G512" s="198"/>
      <c r="H512" s="198"/>
      <c r="I512" s="198"/>
      <c r="J512" s="198"/>
      <c r="K512" s="198"/>
      <c r="L512" s="198"/>
      <c r="M512" s="198"/>
      <c r="N512" s="198"/>
      <c r="O512" s="198"/>
    </row>
    <row r="513" spans="4:15" x14ac:dyDescent="0.25">
      <c r="D513" s="196"/>
      <c r="E513" s="196"/>
      <c r="F513" s="198"/>
      <c r="G513" s="198"/>
      <c r="H513" s="198"/>
      <c r="I513" s="198"/>
      <c r="J513" s="198"/>
      <c r="K513" s="198"/>
      <c r="L513" s="198"/>
      <c r="M513" s="198"/>
      <c r="N513" s="198"/>
      <c r="O513" s="198"/>
    </row>
    <row r="514" spans="4:15" x14ac:dyDescent="0.25">
      <c r="D514" s="196"/>
      <c r="E514" s="196"/>
      <c r="F514" s="198"/>
      <c r="G514" s="198"/>
      <c r="H514" s="198"/>
      <c r="I514" s="198"/>
      <c r="J514" s="198"/>
      <c r="K514" s="198"/>
      <c r="L514" s="198"/>
      <c r="M514" s="198"/>
      <c r="N514" s="198"/>
      <c r="O514" s="198"/>
    </row>
    <row r="515" spans="4:15" x14ac:dyDescent="0.25">
      <c r="D515" s="196"/>
      <c r="E515" s="196"/>
      <c r="F515" s="198"/>
      <c r="G515" s="198"/>
      <c r="H515" s="198"/>
      <c r="I515" s="198"/>
      <c r="J515" s="198"/>
      <c r="K515" s="198"/>
      <c r="L515" s="198"/>
      <c r="M515" s="198"/>
      <c r="N515" s="198"/>
      <c r="O515" s="198"/>
    </row>
    <row r="516" spans="4:15" x14ac:dyDescent="0.25">
      <c r="D516" s="196"/>
      <c r="E516" s="196"/>
      <c r="F516" s="198"/>
      <c r="G516" s="198"/>
      <c r="H516" s="198"/>
      <c r="I516" s="198"/>
      <c r="J516" s="198"/>
      <c r="K516" s="198"/>
      <c r="L516" s="198"/>
      <c r="M516" s="198"/>
      <c r="N516" s="198"/>
      <c r="O516" s="198"/>
    </row>
    <row r="517" spans="4:15" x14ac:dyDescent="0.25">
      <c r="D517" s="196"/>
      <c r="E517" s="196"/>
      <c r="F517" s="198"/>
      <c r="G517" s="198"/>
      <c r="H517" s="198"/>
      <c r="I517" s="198"/>
      <c r="J517" s="198"/>
      <c r="K517" s="198"/>
      <c r="L517" s="198"/>
      <c r="M517" s="198"/>
      <c r="N517" s="198"/>
      <c r="O517" s="198"/>
    </row>
    <row r="518" spans="4:15" x14ac:dyDescent="0.25">
      <c r="D518" s="196"/>
      <c r="E518" s="196"/>
      <c r="F518" s="198"/>
      <c r="G518" s="198"/>
      <c r="H518" s="198"/>
      <c r="I518" s="198"/>
      <c r="J518" s="198"/>
      <c r="K518" s="198"/>
      <c r="L518" s="198"/>
      <c r="M518" s="198"/>
      <c r="N518" s="198"/>
      <c r="O518" s="198"/>
    </row>
    <row r="519" spans="4:15" x14ac:dyDescent="0.25">
      <c r="D519" s="196"/>
      <c r="E519" s="196"/>
      <c r="F519" s="198"/>
      <c r="G519" s="198"/>
      <c r="H519" s="198"/>
      <c r="I519" s="198"/>
      <c r="J519" s="198"/>
      <c r="K519" s="198"/>
      <c r="L519" s="198"/>
      <c r="M519" s="198"/>
      <c r="N519" s="198"/>
      <c r="O519" s="198"/>
    </row>
    <row r="520" spans="4:15" x14ac:dyDescent="0.25">
      <c r="D520" s="196"/>
      <c r="E520" s="196"/>
      <c r="F520" s="198"/>
      <c r="G520" s="198"/>
      <c r="H520" s="198"/>
      <c r="I520" s="198"/>
      <c r="J520" s="198"/>
      <c r="K520" s="198"/>
      <c r="L520" s="198"/>
      <c r="M520" s="198"/>
      <c r="N520" s="198"/>
      <c r="O520" s="198"/>
    </row>
    <row r="521" spans="4:15" x14ac:dyDescent="0.25">
      <c r="D521" s="196"/>
      <c r="E521" s="196"/>
      <c r="F521" s="198"/>
      <c r="G521" s="198"/>
      <c r="H521" s="198"/>
      <c r="I521" s="198"/>
      <c r="J521" s="198"/>
      <c r="K521" s="198"/>
      <c r="L521" s="198"/>
      <c r="M521" s="198"/>
      <c r="N521" s="198"/>
      <c r="O521" s="198"/>
    </row>
    <row r="522" spans="4:15" x14ac:dyDescent="0.25">
      <c r="D522" s="196"/>
      <c r="E522" s="196"/>
      <c r="F522" s="198"/>
      <c r="G522" s="198"/>
      <c r="H522" s="198"/>
      <c r="I522" s="198"/>
      <c r="J522" s="198"/>
      <c r="K522" s="198"/>
      <c r="L522" s="198"/>
      <c r="M522" s="198"/>
      <c r="N522" s="198"/>
      <c r="O522" s="198"/>
    </row>
    <row r="523" spans="4:15" x14ac:dyDescent="0.25">
      <c r="D523" s="196"/>
      <c r="E523" s="196"/>
      <c r="F523" s="198"/>
      <c r="G523" s="198"/>
      <c r="H523" s="198"/>
      <c r="I523" s="198"/>
      <c r="J523" s="198"/>
      <c r="K523" s="198"/>
      <c r="L523" s="198"/>
      <c r="M523" s="198"/>
      <c r="N523" s="198"/>
      <c r="O523" s="198"/>
    </row>
    <row r="524" spans="4:15" x14ac:dyDescent="0.25">
      <c r="D524" s="196"/>
      <c r="E524" s="196"/>
      <c r="F524" s="198"/>
      <c r="G524" s="198"/>
      <c r="H524" s="198"/>
      <c r="I524" s="198"/>
      <c r="J524" s="198"/>
      <c r="K524" s="198"/>
      <c r="L524" s="198"/>
      <c r="M524" s="198"/>
      <c r="N524" s="198"/>
      <c r="O524" s="198"/>
    </row>
    <row r="525" spans="4:15" x14ac:dyDescent="0.25">
      <c r="D525" s="196"/>
      <c r="E525" s="196"/>
      <c r="F525" s="198"/>
      <c r="G525" s="198"/>
      <c r="H525" s="198"/>
      <c r="I525" s="198"/>
      <c r="J525" s="198"/>
      <c r="K525" s="198"/>
      <c r="L525" s="198"/>
      <c r="M525" s="198"/>
      <c r="N525" s="198"/>
      <c r="O525" s="198"/>
    </row>
    <row r="526" spans="4:15" x14ac:dyDescent="0.25">
      <c r="D526" s="196"/>
      <c r="E526" s="196"/>
      <c r="F526" s="198"/>
      <c r="G526" s="198"/>
      <c r="H526" s="198"/>
      <c r="I526" s="198"/>
      <c r="J526" s="198"/>
      <c r="K526" s="198"/>
      <c r="L526" s="198"/>
      <c r="M526" s="198"/>
      <c r="N526" s="198"/>
      <c r="O526" s="198"/>
    </row>
    <row r="527" spans="4:15" x14ac:dyDescent="0.25">
      <c r="D527" s="196"/>
      <c r="E527" s="196"/>
      <c r="F527" s="198"/>
      <c r="G527" s="198"/>
      <c r="H527" s="198"/>
      <c r="I527" s="198"/>
      <c r="J527" s="198"/>
      <c r="K527" s="198"/>
      <c r="L527" s="198"/>
      <c r="M527" s="198"/>
      <c r="N527" s="198"/>
      <c r="O527" s="198"/>
    </row>
    <row r="528" spans="4:15" x14ac:dyDescent="0.25">
      <c r="D528" s="196"/>
      <c r="E528" s="196"/>
      <c r="F528" s="198"/>
      <c r="G528" s="198"/>
      <c r="H528" s="198"/>
      <c r="I528" s="198"/>
      <c r="J528" s="198"/>
      <c r="K528" s="198"/>
      <c r="L528" s="198"/>
      <c r="M528" s="198"/>
      <c r="N528" s="198"/>
      <c r="O528" s="198"/>
    </row>
    <row r="529" spans="4:15" x14ac:dyDescent="0.25">
      <c r="D529" s="196"/>
      <c r="E529" s="196"/>
      <c r="F529" s="198"/>
      <c r="G529" s="198"/>
      <c r="H529" s="198"/>
      <c r="I529" s="198"/>
      <c r="J529" s="198"/>
      <c r="K529" s="198"/>
      <c r="L529" s="198"/>
      <c r="M529" s="198"/>
      <c r="N529" s="198"/>
      <c r="O529" s="198"/>
    </row>
    <row r="530" spans="4:15" x14ac:dyDescent="0.25">
      <c r="D530" s="196"/>
      <c r="E530" s="196"/>
      <c r="F530" s="198"/>
      <c r="G530" s="198"/>
      <c r="H530" s="198"/>
      <c r="I530" s="198"/>
      <c r="J530" s="198"/>
      <c r="K530" s="198"/>
      <c r="L530" s="198"/>
      <c r="M530" s="198"/>
      <c r="N530" s="198"/>
      <c r="O530" s="198"/>
    </row>
    <row r="531" spans="4:15" x14ac:dyDescent="0.25">
      <c r="D531" s="196"/>
      <c r="E531" s="196"/>
      <c r="F531" s="198"/>
      <c r="G531" s="198"/>
      <c r="H531" s="198"/>
      <c r="I531" s="198"/>
      <c r="J531" s="198"/>
      <c r="K531" s="198"/>
      <c r="L531" s="198"/>
      <c r="M531" s="198"/>
      <c r="N531" s="198"/>
      <c r="O531" s="198"/>
    </row>
    <row r="532" spans="4:15" x14ac:dyDescent="0.25">
      <c r="D532" s="196"/>
      <c r="E532" s="196"/>
      <c r="F532" s="198"/>
      <c r="G532" s="198"/>
      <c r="H532" s="198"/>
      <c r="I532" s="198"/>
      <c r="J532" s="198"/>
      <c r="K532" s="198"/>
      <c r="L532" s="198"/>
      <c r="M532" s="198"/>
      <c r="N532" s="198"/>
      <c r="O532" s="198"/>
    </row>
    <row r="533" spans="4:15" x14ac:dyDescent="0.25">
      <c r="D533" s="196"/>
      <c r="E533" s="196"/>
      <c r="F533" s="198"/>
      <c r="G533" s="198"/>
      <c r="H533" s="198"/>
      <c r="I533" s="198"/>
      <c r="J533" s="198"/>
      <c r="K533" s="198"/>
      <c r="L533" s="198"/>
      <c r="M533" s="198"/>
      <c r="N533" s="198"/>
      <c r="O533" s="198"/>
    </row>
    <row r="534" spans="4:15" x14ac:dyDescent="0.25">
      <c r="D534" s="196"/>
      <c r="E534" s="196"/>
      <c r="F534" s="198"/>
      <c r="G534" s="198"/>
      <c r="H534" s="198"/>
      <c r="I534" s="198"/>
      <c r="J534" s="198"/>
      <c r="K534" s="198"/>
      <c r="L534" s="198"/>
      <c r="M534" s="198"/>
      <c r="N534" s="198"/>
      <c r="O534" s="198"/>
    </row>
    <row r="535" spans="4:15" x14ac:dyDescent="0.25">
      <c r="D535" s="196"/>
      <c r="E535" s="196"/>
      <c r="F535" s="198"/>
      <c r="G535" s="198"/>
      <c r="H535" s="198"/>
      <c r="I535" s="198"/>
      <c r="J535" s="198"/>
      <c r="K535" s="198"/>
      <c r="L535" s="198"/>
      <c r="M535" s="198"/>
      <c r="N535" s="198"/>
      <c r="O535" s="198"/>
    </row>
    <row r="536" spans="4:15" x14ac:dyDescent="0.25">
      <c r="D536" s="196"/>
      <c r="E536" s="196"/>
      <c r="F536" s="198"/>
      <c r="G536" s="198"/>
      <c r="H536" s="198"/>
      <c r="I536" s="198"/>
      <c r="J536" s="198"/>
      <c r="K536" s="198"/>
      <c r="L536" s="198"/>
      <c r="M536" s="198"/>
      <c r="N536" s="198"/>
      <c r="O536" s="198"/>
    </row>
    <row r="537" spans="4:15" x14ac:dyDescent="0.25">
      <c r="D537" s="196"/>
      <c r="E537" s="196"/>
      <c r="F537" s="198"/>
      <c r="G537" s="198"/>
      <c r="H537" s="198"/>
      <c r="I537" s="198"/>
      <c r="J537" s="198"/>
      <c r="K537" s="198"/>
      <c r="L537" s="198"/>
      <c r="M537" s="198"/>
      <c r="N537" s="198"/>
      <c r="O537" s="198"/>
    </row>
    <row r="538" spans="4:15" x14ac:dyDescent="0.25">
      <c r="D538" s="196"/>
      <c r="E538" s="196"/>
      <c r="F538" s="198"/>
      <c r="G538" s="198"/>
      <c r="H538" s="198"/>
      <c r="I538" s="198"/>
      <c r="J538" s="198"/>
      <c r="K538" s="198"/>
      <c r="L538" s="198"/>
      <c r="M538" s="198"/>
      <c r="N538" s="198"/>
      <c r="O538" s="198"/>
    </row>
    <row r="539" spans="4:15" x14ac:dyDescent="0.25">
      <c r="D539" s="196"/>
      <c r="E539" s="196"/>
      <c r="F539" s="198"/>
      <c r="G539" s="198"/>
      <c r="H539" s="198"/>
      <c r="I539" s="198"/>
      <c r="J539" s="198"/>
      <c r="K539" s="198"/>
      <c r="L539" s="198"/>
      <c r="M539" s="198"/>
      <c r="N539" s="198"/>
      <c r="O539" s="198"/>
    </row>
    <row r="540" spans="4:15" x14ac:dyDescent="0.25">
      <c r="D540" s="196"/>
      <c r="E540" s="196"/>
      <c r="F540" s="198"/>
      <c r="G540" s="198"/>
      <c r="H540" s="198"/>
      <c r="I540" s="198"/>
      <c r="J540" s="198"/>
      <c r="K540" s="198"/>
      <c r="L540" s="198"/>
      <c r="M540" s="198"/>
      <c r="N540" s="198"/>
      <c r="O540" s="198"/>
    </row>
    <row r="541" spans="4:15" x14ac:dyDescent="0.25">
      <c r="D541" s="196"/>
      <c r="E541" s="196"/>
      <c r="F541" s="198"/>
      <c r="G541" s="198"/>
      <c r="H541" s="198"/>
      <c r="I541" s="198"/>
      <c r="J541" s="198"/>
      <c r="K541" s="198"/>
      <c r="L541" s="198"/>
      <c r="M541" s="198"/>
      <c r="N541" s="198"/>
      <c r="O541" s="198"/>
    </row>
    <row r="542" spans="4:15" x14ac:dyDescent="0.25">
      <c r="D542" s="196"/>
      <c r="E542" s="196"/>
      <c r="F542" s="198"/>
      <c r="G542" s="198"/>
      <c r="H542" s="198"/>
      <c r="I542" s="198"/>
      <c r="J542" s="198"/>
      <c r="K542" s="198"/>
      <c r="L542" s="198"/>
      <c r="M542" s="198"/>
      <c r="N542" s="198"/>
      <c r="O542" s="198"/>
    </row>
    <row r="543" spans="4:15" x14ac:dyDescent="0.25">
      <c r="D543" s="196"/>
      <c r="E543" s="196"/>
      <c r="F543" s="198"/>
      <c r="G543" s="198"/>
      <c r="H543" s="198"/>
      <c r="I543" s="198"/>
      <c r="J543" s="198"/>
      <c r="K543" s="198"/>
      <c r="L543" s="198"/>
      <c r="M543" s="198"/>
      <c r="N543" s="198"/>
      <c r="O543" s="198"/>
    </row>
    <row r="544" spans="4:15" x14ac:dyDescent="0.25">
      <c r="D544" s="196"/>
      <c r="E544" s="196"/>
      <c r="F544" s="198"/>
      <c r="G544" s="198"/>
      <c r="H544" s="198"/>
      <c r="I544" s="198"/>
      <c r="J544" s="198"/>
      <c r="K544" s="198"/>
      <c r="L544" s="198"/>
      <c r="M544" s="198"/>
      <c r="N544" s="198"/>
      <c r="O544" s="198"/>
    </row>
    <row r="545" spans="4:15" x14ac:dyDescent="0.25">
      <c r="D545" s="196"/>
      <c r="E545" s="196"/>
      <c r="F545" s="198"/>
      <c r="G545" s="198"/>
      <c r="H545" s="198"/>
      <c r="I545" s="198"/>
      <c r="J545" s="198"/>
      <c r="K545" s="198"/>
      <c r="L545" s="198"/>
      <c r="M545" s="198"/>
      <c r="N545" s="198"/>
      <c r="O545" s="198"/>
    </row>
    <row r="546" spans="4:15" x14ac:dyDescent="0.25">
      <c r="D546" s="196"/>
      <c r="E546" s="196"/>
      <c r="F546" s="198"/>
      <c r="G546" s="198"/>
      <c r="H546" s="198"/>
      <c r="I546" s="198"/>
      <c r="J546" s="198"/>
      <c r="K546" s="198"/>
      <c r="L546" s="198"/>
      <c r="M546" s="198"/>
      <c r="N546" s="198"/>
      <c r="O546" s="198"/>
    </row>
    <row r="547" spans="4:15" x14ac:dyDescent="0.25">
      <c r="D547" s="196"/>
      <c r="E547" s="196"/>
      <c r="F547" s="198"/>
      <c r="G547" s="198"/>
      <c r="H547" s="198"/>
      <c r="I547" s="198"/>
      <c r="J547" s="198"/>
      <c r="K547" s="198"/>
      <c r="L547" s="198"/>
      <c r="M547" s="198"/>
      <c r="N547" s="198"/>
      <c r="O547" s="198"/>
    </row>
    <row r="548" spans="4:15" x14ac:dyDescent="0.25">
      <c r="D548" s="196"/>
      <c r="E548" s="196"/>
      <c r="F548" s="198"/>
      <c r="G548" s="198"/>
      <c r="H548" s="198"/>
      <c r="I548" s="198"/>
      <c r="J548" s="198"/>
      <c r="K548" s="198"/>
      <c r="L548" s="198"/>
      <c r="M548" s="198"/>
      <c r="N548" s="198"/>
      <c r="O548" s="198"/>
    </row>
    <row r="549" spans="4:15" x14ac:dyDescent="0.25">
      <c r="D549" s="196"/>
      <c r="E549" s="196"/>
      <c r="F549" s="198"/>
      <c r="G549" s="198"/>
      <c r="H549" s="198"/>
      <c r="I549" s="198"/>
      <c r="J549" s="198"/>
      <c r="K549" s="198"/>
      <c r="L549" s="198"/>
      <c r="M549" s="198"/>
      <c r="N549" s="198"/>
      <c r="O549" s="198"/>
    </row>
    <row r="550" spans="4:15" x14ac:dyDescent="0.25">
      <c r="D550" s="196"/>
      <c r="E550" s="196"/>
      <c r="F550" s="198"/>
      <c r="G550" s="198"/>
      <c r="H550" s="198"/>
      <c r="I550" s="198"/>
      <c r="J550" s="198"/>
      <c r="K550" s="198"/>
      <c r="L550" s="198"/>
      <c r="M550" s="198"/>
      <c r="N550" s="198"/>
      <c r="O550" s="198"/>
    </row>
    <row r="551" spans="4:15" x14ac:dyDescent="0.25">
      <c r="D551" s="196"/>
      <c r="E551" s="196"/>
      <c r="F551" s="198"/>
      <c r="G551" s="198"/>
      <c r="H551" s="198"/>
      <c r="I551" s="198"/>
      <c r="J551" s="198"/>
      <c r="K551" s="198"/>
      <c r="L551" s="198"/>
      <c r="M551" s="198"/>
      <c r="N551" s="198"/>
      <c r="O551" s="198"/>
    </row>
    <row r="552" spans="4:15" x14ac:dyDescent="0.25">
      <c r="D552" s="196"/>
      <c r="E552" s="196"/>
      <c r="F552" s="198"/>
      <c r="G552" s="198"/>
      <c r="H552" s="198"/>
      <c r="I552" s="198"/>
      <c r="J552" s="198"/>
      <c r="K552" s="198"/>
      <c r="L552" s="198"/>
      <c r="M552" s="198"/>
      <c r="N552" s="198"/>
      <c r="O552" s="198"/>
    </row>
    <row r="553" spans="4:15" x14ac:dyDescent="0.25">
      <c r="D553" s="196"/>
      <c r="E553" s="196"/>
      <c r="F553" s="198"/>
      <c r="G553" s="198"/>
      <c r="H553" s="198"/>
      <c r="I553" s="198"/>
      <c r="J553" s="198"/>
      <c r="K553" s="198"/>
      <c r="L553" s="198"/>
      <c r="M553" s="198"/>
      <c r="N553" s="198"/>
      <c r="O553" s="198"/>
    </row>
    <row r="554" spans="4:15" x14ac:dyDescent="0.25">
      <c r="D554" s="196"/>
      <c r="E554" s="196"/>
      <c r="F554" s="198"/>
      <c r="G554" s="198"/>
      <c r="H554" s="198"/>
      <c r="I554" s="198"/>
      <c r="J554" s="198"/>
      <c r="K554" s="198"/>
      <c r="L554" s="198"/>
      <c r="M554" s="198"/>
      <c r="N554" s="198"/>
      <c r="O554" s="198"/>
    </row>
    <row r="555" spans="4:15" x14ac:dyDescent="0.25">
      <c r="D555" s="196"/>
      <c r="E555" s="196"/>
      <c r="F555" s="198"/>
      <c r="G555" s="198"/>
      <c r="H555" s="198"/>
      <c r="I555" s="198"/>
      <c r="J555" s="198"/>
      <c r="K555" s="198"/>
      <c r="L555" s="198"/>
      <c r="M555" s="198"/>
      <c r="N555" s="198"/>
      <c r="O555" s="198"/>
    </row>
    <row r="556" spans="4:15" x14ac:dyDescent="0.25">
      <c r="D556" s="196"/>
      <c r="E556" s="196"/>
      <c r="F556" s="198"/>
      <c r="G556" s="198"/>
      <c r="H556" s="198"/>
      <c r="I556" s="198"/>
      <c r="J556" s="198"/>
      <c r="K556" s="198"/>
      <c r="L556" s="198"/>
      <c r="M556" s="198"/>
      <c r="N556" s="198"/>
      <c r="O556" s="198"/>
    </row>
    <row r="557" spans="4:15" x14ac:dyDescent="0.25">
      <c r="D557" s="196"/>
      <c r="E557" s="196"/>
      <c r="F557" s="198"/>
      <c r="G557" s="198"/>
      <c r="H557" s="198"/>
      <c r="I557" s="198"/>
      <c r="J557" s="198"/>
      <c r="K557" s="198"/>
      <c r="L557" s="198"/>
      <c r="M557" s="198"/>
      <c r="N557" s="198"/>
      <c r="O557" s="198"/>
    </row>
    <row r="558" spans="4:15" x14ac:dyDescent="0.25">
      <c r="D558" s="196"/>
      <c r="E558" s="196"/>
      <c r="F558" s="198"/>
      <c r="G558" s="198"/>
      <c r="H558" s="198"/>
      <c r="I558" s="198"/>
      <c r="J558" s="198"/>
      <c r="K558" s="198"/>
      <c r="L558" s="198"/>
      <c r="M558" s="198"/>
      <c r="N558" s="198"/>
      <c r="O558" s="198"/>
    </row>
    <row r="559" spans="4:15" x14ac:dyDescent="0.25">
      <c r="D559" s="196"/>
      <c r="E559" s="196"/>
      <c r="F559" s="198"/>
      <c r="G559" s="198"/>
      <c r="H559" s="198"/>
      <c r="I559" s="198"/>
      <c r="J559" s="198"/>
      <c r="K559" s="198"/>
      <c r="L559" s="198"/>
      <c r="M559" s="198"/>
      <c r="N559" s="198"/>
      <c r="O559" s="198"/>
    </row>
    <row r="560" spans="4:15" x14ac:dyDescent="0.25">
      <c r="D560" s="196"/>
      <c r="E560" s="196"/>
      <c r="F560" s="198"/>
      <c r="G560" s="198"/>
      <c r="H560" s="198"/>
      <c r="I560" s="198"/>
      <c r="J560" s="198"/>
      <c r="K560" s="198"/>
      <c r="L560" s="198"/>
      <c r="M560" s="198"/>
      <c r="N560" s="198"/>
      <c r="O560" s="198"/>
    </row>
    <row r="561" spans="4:15" x14ac:dyDescent="0.25">
      <c r="D561" s="196"/>
      <c r="E561" s="196"/>
      <c r="F561" s="198"/>
      <c r="G561" s="198"/>
      <c r="H561" s="198"/>
      <c r="I561" s="198"/>
      <c r="J561" s="198"/>
      <c r="K561" s="198"/>
      <c r="L561" s="198"/>
      <c r="M561" s="198"/>
      <c r="N561" s="198"/>
      <c r="O561" s="198"/>
    </row>
    <row r="562" spans="4:15" x14ac:dyDescent="0.25">
      <c r="D562" s="196"/>
      <c r="E562" s="196"/>
      <c r="F562" s="198"/>
      <c r="G562" s="198"/>
      <c r="H562" s="198"/>
      <c r="I562" s="198"/>
      <c r="J562" s="198"/>
      <c r="K562" s="198"/>
      <c r="L562" s="198"/>
      <c r="M562" s="198"/>
      <c r="N562" s="198"/>
      <c r="O562" s="198"/>
    </row>
    <row r="563" spans="4:15" x14ac:dyDescent="0.25">
      <c r="D563" s="196"/>
      <c r="E563" s="196"/>
      <c r="F563" s="198"/>
      <c r="G563" s="198"/>
      <c r="H563" s="198"/>
      <c r="I563" s="198"/>
      <c r="J563" s="198"/>
      <c r="K563" s="198"/>
      <c r="L563" s="198"/>
      <c r="M563" s="198"/>
      <c r="N563" s="198"/>
      <c r="O563" s="198"/>
    </row>
    <row r="564" spans="4:15" x14ac:dyDescent="0.25">
      <c r="D564" s="196"/>
      <c r="E564" s="196"/>
      <c r="F564" s="198"/>
      <c r="G564" s="198"/>
      <c r="H564" s="198"/>
      <c r="I564" s="198"/>
      <c r="J564" s="198"/>
      <c r="K564" s="198"/>
      <c r="L564" s="198"/>
      <c r="M564" s="198"/>
      <c r="N564" s="198"/>
      <c r="O564" s="198"/>
    </row>
    <row r="565" spans="4:15" x14ac:dyDescent="0.25">
      <c r="D565" s="196"/>
      <c r="E565" s="196"/>
      <c r="F565" s="198"/>
      <c r="G565" s="198"/>
      <c r="H565" s="198"/>
      <c r="I565" s="198"/>
      <c r="J565" s="198"/>
      <c r="K565" s="198"/>
      <c r="L565" s="198"/>
      <c r="M565" s="198"/>
      <c r="N565" s="198"/>
      <c r="O565" s="198"/>
    </row>
    <row r="566" spans="4:15" x14ac:dyDescent="0.25">
      <c r="D566" s="196"/>
      <c r="E566" s="196"/>
      <c r="F566" s="198"/>
      <c r="G566" s="198"/>
      <c r="H566" s="198"/>
      <c r="I566" s="198"/>
      <c r="J566" s="198"/>
      <c r="K566" s="198"/>
      <c r="L566" s="198"/>
      <c r="M566" s="198"/>
      <c r="N566" s="198"/>
      <c r="O566" s="198"/>
    </row>
    <row r="567" spans="4:15" x14ac:dyDescent="0.25">
      <c r="D567" s="196"/>
      <c r="E567" s="196"/>
      <c r="F567" s="198"/>
      <c r="G567" s="198"/>
      <c r="H567" s="198"/>
      <c r="I567" s="198"/>
      <c r="J567" s="198"/>
      <c r="K567" s="198"/>
      <c r="L567" s="198"/>
      <c r="M567" s="198"/>
      <c r="N567" s="198"/>
      <c r="O567" s="198"/>
    </row>
    <row r="568" spans="4:15" x14ac:dyDescent="0.25">
      <c r="D568" s="196"/>
      <c r="E568" s="196"/>
      <c r="F568" s="198"/>
      <c r="G568" s="198"/>
      <c r="H568" s="198"/>
      <c r="I568" s="198"/>
      <c r="J568" s="198"/>
      <c r="K568" s="198"/>
      <c r="L568" s="198"/>
      <c r="M568" s="198"/>
      <c r="N568" s="198"/>
      <c r="O568" s="198"/>
    </row>
    <row r="569" spans="4:15" x14ac:dyDescent="0.25">
      <c r="D569" s="196"/>
      <c r="E569" s="196"/>
      <c r="F569" s="198"/>
      <c r="G569" s="198"/>
      <c r="H569" s="198"/>
      <c r="I569" s="198"/>
      <c r="J569" s="198"/>
      <c r="K569" s="198"/>
      <c r="L569" s="198"/>
      <c r="M569" s="198"/>
      <c r="N569" s="198"/>
      <c r="O569" s="198"/>
    </row>
    <row r="570" spans="4:15" x14ac:dyDescent="0.25">
      <c r="D570" s="196"/>
      <c r="E570" s="196"/>
      <c r="F570" s="198"/>
      <c r="G570" s="198"/>
      <c r="H570" s="198"/>
      <c r="I570" s="198"/>
      <c r="J570" s="198"/>
      <c r="K570" s="198"/>
      <c r="L570" s="198"/>
      <c r="M570" s="198"/>
      <c r="N570" s="198"/>
      <c r="O570" s="198"/>
    </row>
    <row r="571" spans="4:15" x14ac:dyDescent="0.25">
      <c r="D571" s="196"/>
      <c r="E571" s="196"/>
      <c r="F571" s="198"/>
      <c r="G571" s="198"/>
      <c r="H571" s="198"/>
      <c r="I571" s="198"/>
      <c r="J571" s="198"/>
      <c r="K571" s="198"/>
      <c r="L571" s="198"/>
      <c r="M571" s="198"/>
      <c r="N571" s="198"/>
      <c r="O571" s="198"/>
    </row>
    <row r="572" spans="4:15" x14ac:dyDescent="0.25">
      <c r="D572" s="196"/>
      <c r="E572" s="196"/>
      <c r="F572" s="198"/>
      <c r="G572" s="198"/>
      <c r="H572" s="198"/>
      <c r="I572" s="198"/>
      <c r="J572" s="198"/>
      <c r="K572" s="198"/>
      <c r="L572" s="198"/>
      <c r="M572" s="198"/>
      <c r="N572" s="198"/>
      <c r="O572" s="198"/>
    </row>
    <row r="573" spans="4:15" x14ac:dyDescent="0.25">
      <c r="D573" s="196"/>
      <c r="E573" s="196"/>
      <c r="F573" s="198"/>
      <c r="G573" s="198"/>
      <c r="H573" s="198"/>
      <c r="I573" s="198"/>
      <c r="J573" s="198"/>
      <c r="K573" s="198"/>
      <c r="L573" s="198"/>
      <c r="M573" s="198"/>
      <c r="N573" s="198"/>
      <c r="O573" s="198"/>
    </row>
    <row r="574" spans="4:15" x14ac:dyDescent="0.25">
      <c r="D574" s="196"/>
      <c r="E574" s="196"/>
      <c r="F574" s="198"/>
      <c r="G574" s="198"/>
      <c r="H574" s="198"/>
      <c r="I574" s="198"/>
      <c r="J574" s="198"/>
      <c r="K574" s="198"/>
      <c r="L574" s="198"/>
      <c r="M574" s="198"/>
      <c r="N574" s="198"/>
      <c r="O574" s="198"/>
    </row>
    <row r="575" spans="4:15" x14ac:dyDescent="0.25">
      <c r="D575" s="196"/>
      <c r="E575" s="196"/>
      <c r="F575" s="198"/>
      <c r="G575" s="198"/>
      <c r="H575" s="198"/>
      <c r="I575" s="198"/>
      <c r="J575" s="198"/>
      <c r="K575" s="198"/>
      <c r="L575" s="198"/>
      <c r="M575" s="198"/>
      <c r="N575" s="198"/>
      <c r="O575" s="198"/>
    </row>
    <row r="576" spans="4:15" x14ac:dyDescent="0.25">
      <c r="D576" s="196"/>
      <c r="E576" s="196"/>
      <c r="F576" s="198"/>
      <c r="G576" s="198"/>
      <c r="H576" s="198"/>
      <c r="I576" s="198"/>
      <c r="J576" s="198"/>
      <c r="K576" s="198"/>
      <c r="L576" s="198"/>
      <c r="M576" s="198"/>
      <c r="N576" s="198"/>
      <c r="O576" s="198"/>
    </row>
    <row r="577" spans="4:15" x14ac:dyDescent="0.25">
      <c r="D577" s="196"/>
      <c r="E577" s="196"/>
      <c r="F577" s="198"/>
      <c r="G577" s="198"/>
      <c r="H577" s="198"/>
      <c r="I577" s="198"/>
      <c r="J577" s="198"/>
      <c r="K577" s="198"/>
      <c r="L577" s="198"/>
      <c r="M577" s="198"/>
      <c r="N577" s="198"/>
      <c r="O577" s="198"/>
    </row>
    <row r="578" spans="4:15" x14ac:dyDescent="0.25">
      <c r="D578" s="196"/>
      <c r="E578" s="196"/>
      <c r="F578" s="198"/>
      <c r="G578" s="198"/>
      <c r="H578" s="198"/>
      <c r="I578" s="198"/>
      <c r="J578" s="198"/>
      <c r="K578" s="198"/>
      <c r="L578" s="198"/>
      <c r="M578" s="198"/>
      <c r="N578" s="198"/>
      <c r="O578" s="198"/>
    </row>
    <row r="579" spans="4:15" x14ac:dyDescent="0.25">
      <c r="D579" s="196"/>
      <c r="E579" s="196"/>
      <c r="F579" s="198"/>
      <c r="G579" s="198"/>
      <c r="H579" s="198"/>
      <c r="I579" s="198"/>
      <c r="J579" s="198"/>
      <c r="K579" s="198"/>
      <c r="L579" s="198"/>
      <c r="M579" s="198"/>
      <c r="N579" s="198"/>
      <c r="O579" s="198"/>
    </row>
    <row r="580" spans="4:15" x14ac:dyDescent="0.25">
      <c r="D580" s="196"/>
      <c r="E580" s="196"/>
      <c r="F580" s="198"/>
      <c r="G580" s="198"/>
      <c r="H580" s="198"/>
      <c r="I580" s="198"/>
      <c r="J580" s="198"/>
      <c r="K580" s="198"/>
      <c r="L580" s="198"/>
      <c r="M580" s="198"/>
      <c r="N580" s="198"/>
      <c r="O580" s="198"/>
    </row>
    <row r="581" spans="4:15" x14ac:dyDescent="0.25">
      <c r="D581" s="196"/>
      <c r="E581" s="196"/>
      <c r="F581" s="198"/>
      <c r="G581" s="198"/>
      <c r="H581" s="198"/>
      <c r="I581" s="198"/>
      <c r="J581" s="198"/>
      <c r="K581" s="198"/>
      <c r="L581" s="198"/>
      <c r="M581" s="198"/>
      <c r="N581" s="198"/>
      <c r="O581" s="198"/>
    </row>
    <row r="582" spans="4:15" x14ac:dyDescent="0.25">
      <c r="D582" s="196"/>
      <c r="E582" s="196"/>
      <c r="F582" s="198"/>
      <c r="G582" s="198"/>
      <c r="H582" s="198"/>
      <c r="I582" s="198"/>
      <c r="J582" s="198"/>
      <c r="K582" s="198"/>
      <c r="L582" s="198"/>
      <c r="M582" s="198"/>
      <c r="N582" s="198"/>
      <c r="O582" s="198"/>
    </row>
    <row r="583" spans="4:15" x14ac:dyDescent="0.25">
      <c r="D583" s="196"/>
      <c r="E583" s="196"/>
      <c r="F583" s="198"/>
      <c r="G583" s="198"/>
      <c r="H583" s="198"/>
      <c r="I583" s="198"/>
      <c r="J583" s="198"/>
      <c r="K583" s="198"/>
      <c r="L583" s="198"/>
      <c r="M583" s="198"/>
      <c r="N583" s="198"/>
      <c r="O583" s="198"/>
    </row>
    <row r="584" spans="4:15" x14ac:dyDescent="0.25">
      <c r="D584" s="196"/>
      <c r="E584" s="196"/>
      <c r="F584" s="198"/>
      <c r="G584" s="198"/>
      <c r="H584" s="198"/>
      <c r="I584" s="198"/>
      <c r="J584" s="198"/>
      <c r="K584" s="198"/>
      <c r="L584" s="198"/>
      <c r="M584" s="198"/>
      <c r="N584" s="198"/>
      <c r="O584" s="198"/>
    </row>
    <row r="585" spans="4:15" x14ac:dyDescent="0.25">
      <c r="D585" s="196"/>
      <c r="E585" s="196"/>
      <c r="F585" s="198"/>
      <c r="G585" s="198"/>
      <c r="H585" s="198"/>
      <c r="I585" s="198"/>
      <c r="J585" s="198"/>
      <c r="K585" s="198"/>
      <c r="L585" s="198"/>
      <c r="M585" s="198"/>
      <c r="N585" s="198"/>
      <c r="O585" s="198"/>
    </row>
    <row r="586" spans="4:15" x14ac:dyDescent="0.25">
      <c r="D586" s="196"/>
      <c r="E586" s="196"/>
      <c r="F586" s="198"/>
      <c r="G586" s="198"/>
      <c r="H586" s="198"/>
      <c r="I586" s="198"/>
      <c r="J586" s="198"/>
      <c r="K586" s="198"/>
      <c r="L586" s="198"/>
      <c r="M586" s="198"/>
      <c r="N586" s="198"/>
      <c r="O586" s="198"/>
    </row>
    <row r="587" spans="4:15" x14ac:dyDescent="0.25">
      <c r="D587" s="196"/>
      <c r="E587" s="196"/>
      <c r="F587" s="198"/>
      <c r="G587" s="198"/>
      <c r="H587" s="198"/>
      <c r="I587" s="198"/>
      <c r="J587" s="198"/>
      <c r="K587" s="198"/>
      <c r="L587" s="198"/>
      <c r="M587" s="198"/>
      <c r="N587" s="198"/>
      <c r="O587" s="198"/>
    </row>
    <row r="588" spans="4:15" x14ac:dyDescent="0.25">
      <c r="D588" s="196"/>
      <c r="E588" s="196"/>
      <c r="F588" s="198"/>
      <c r="G588" s="198"/>
      <c r="H588" s="198"/>
      <c r="I588" s="198"/>
      <c r="J588" s="198"/>
      <c r="K588" s="198"/>
      <c r="L588" s="198"/>
      <c r="M588" s="198"/>
      <c r="N588" s="198"/>
      <c r="O588" s="198"/>
    </row>
    <row r="589" spans="4:15" x14ac:dyDescent="0.25">
      <c r="D589" s="196"/>
      <c r="E589" s="196"/>
      <c r="F589" s="198"/>
      <c r="G589" s="198"/>
      <c r="H589" s="198"/>
      <c r="I589" s="198"/>
      <c r="J589" s="198"/>
      <c r="K589" s="198"/>
      <c r="L589" s="198"/>
      <c r="M589" s="198"/>
      <c r="N589" s="198"/>
      <c r="O589" s="198"/>
    </row>
    <row r="590" spans="4:15" x14ac:dyDescent="0.25">
      <c r="D590" s="196"/>
      <c r="E590" s="196"/>
      <c r="F590" s="198"/>
      <c r="G590" s="198"/>
      <c r="H590" s="198"/>
      <c r="I590" s="198"/>
      <c r="J590" s="198"/>
      <c r="K590" s="198"/>
      <c r="L590" s="198"/>
      <c r="M590" s="198"/>
      <c r="N590" s="198"/>
      <c r="O590" s="198"/>
    </row>
    <row r="591" spans="4:15" x14ac:dyDescent="0.25">
      <c r="D591" s="196"/>
      <c r="E591" s="196"/>
      <c r="F591" s="198"/>
      <c r="G591" s="198"/>
      <c r="H591" s="198"/>
      <c r="I591" s="198"/>
      <c r="J591" s="198"/>
      <c r="K591" s="198"/>
      <c r="L591" s="198"/>
      <c r="M591" s="198"/>
      <c r="N591" s="198"/>
      <c r="O591" s="198"/>
    </row>
    <row r="592" spans="4:15" x14ac:dyDescent="0.25">
      <c r="D592" s="196"/>
      <c r="E592" s="196"/>
      <c r="F592" s="198"/>
      <c r="G592" s="198"/>
      <c r="H592" s="198"/>
      <c r="I592" s="198"/>
      <c r="J592" s="198"/>
      <c r="K592" s="198"/>
      <c r="L592" s="198"/>
      <c r="M592" s="198"/>
      <c r="N592" s="198"/>
      <c r="O592" s="198"/>
    </row>
    <row r="593" spans="4:15" x14ac:dyDescent="0.25">
      <c r="D593" s="196"/>
      <c r="E593" s="196"/>
      <c r="F593" s="198"/>
      <c r="G593" s="198"/>
      <c r="H593" s="198"/>
      <c r="I593" s="198"/>
      <c r="J593" s="198"/>
      <c r="K593" s="198"/>
      <c r="L593" s="198"/>
      <c r="M593" s="198"/>
      <c r="N593" s="198"/>
      <c r="O593" s="198"/>
    </row>
    <row r="594" spans="4:15" x14ac:dyDescent="0.25">
      <c r="D594" s="196"/>
      <c r="E594" s="196"/>
      <c r="F594" s="198"/>
      <c r="G594" s="198"/>
      <c r="H594" s="198"/>
      <c r="I594" s="198"/>
      <c r="J594" s="198"/>
      <c r="K594" s="198"/>
      <c r="L594" s="198"/>
      <c r="M594" s="198"/>
      <c r="N594" s="198"/>
      <c r="O594" s="198"/>
    </row>
    <row r="595" spans="4:15" x14ac:dyDescent="0.25">
      <c r="D595" s="196"/>
      <c r="E595" s="196"/>
      <c r="F595" s="198"/>
      <c r="G595" s="198"/>
      <c r="H595" s="198"/>
      <c r="I595" s="198"/>
      <c r="J595" s="198"/>
      <c r="K595" s="198"/>
      <c r="L595" s="198"/>
      <c r="M595" s="198"/>
      <c r="N595" s="198"/>
      <c r="O595" s="198"/>
    </row>
    <row r="596" spans="4:15" x14ac:dyDescent="0.25">
      <c r="D596" s="196"/>
      <c r="E596" s="196"/>
      <c r="F596" s="198"/>
      <c r="G596" s="198"/>
      <c r="H596" s="198"/>
      <c r="I596" s="198"/>
      <c r="J596" s="198"/>
      <c r="K596" s="198"/>
      <c r="L596" s="198"/>
      <c r="M596" s="198"/>
      <c r="N596" s="198"/>
      <c r="O596" s="198"/>
    </row>
    <row r="597" spans="4:15" x14ac:dyDescent="0.25">
      <c r="D597" s="196"/>
      <c r="E597" s="196"/>
      <c r="F597" s="198"/>
      <c r="G597" s="198"/>
      <c r="H597" s="198"/>
      <c r="I597" s="198"/>
      <c r="J597" s="198"/>
      <c r="K597" s="198"/>
      <c r="L597" s="198"/>
      <c r="M597" s="198"/>
      <c r="N597" s="198"/>
      <c r="O597" s="198"/>
    </row>
    <row r="598" spans="4:15" x14ac:dyDescent="0.25">
      <c r="D598" s="196"/>
      <c r="E598" s="196"/>
      <c r="F598" s="198"/>
      <c r="G598" s="198"/>
      <c r="H598" s="198"/>
      <c r="I598" s="198"/>
      <c r="J598" s="198"/>
      <c r="K598" s="198"/>
      <c r="L598" s="198"/>
      <c r="M598" s="198"/>
      <c r="N598" s="198"/>
      <c r="O598" s="198"/>
    </row>
    <row r="599" spans="4:15" x14ac:dyDescent="0.25">
      <c r="D599" s="196"/>
      <c r="E599" s="196"/>
      <c r="F599" s="198"/>
      <c r="G599" s="198"/>
      <c r="H599" s="198"/>
      <c r="I599" s="198"/>
      <c r="J599" s="198"/>
      <c r="K599" s="198"/>
      <c r="L599" s="198"/>
      <c r="M599" s="198"/>
      <c r="N599" s="198"/>
      <c r="O599" s="198"/>
    </row>
    <row r="600" spans="4:15" x14ac:dyDescent="0.25">
      <c r="D600" s="196"/>
      <c r="E600" s="196"/>
      <c r="F600" s="198"/>
      <c r="G600" s="198"/>
      <c r="H600" s="198"/>
      <c r="I600" s="198"/>
      <c r="J600" s="198"/>
      <c r="K600" s="198"/>
      <c r="L600" s="198"/>
      <c r="M600" s="198"/>
      <c r="N600" s="198"/>
      <c r="O600" s="198"/>
    </row>
    <row r="601" spans="4:15" x14ac:dyDescent="0.25">
      <c r="D601" s="196"/>
      <c r="E601" s="196"/>
      <c r="F601" s="198"/>
      <c r="G601" s="198"/>
      <c r="H601" s="198"/>
      <c r="I601" s="198"/>
      <c r="J601" s="198"/>
      <c r="K601" s="198"/>
      <c r="L601" s="198"/>
      <c r="M601" s="198"/>
      <c r="N601" s="198"/>
      <c r="O601" s="198"/>
    </row>
    <row r="602" spans="4:15" x14ac:dyDescent="0.25">
      <c r="D602" s="196"/>
      <c r="E602" s="196"/>
      <c r="F602" s="198"/>
      <c r="G602" s="198"/>
      <c r="H602" s="198"/>
      <c r="I602" s="198"/>
      <c r="J602" s="198"/>
      <c r="K602" s="198"/>
      <c r="L602" s="198"/>
      <c r="M602" s="198"/>
      <c r="N602" s="198"/>
      <c r="O602" s="198"/>
    </row>
    <row r="603" spans="4:15" x14ac:dyDescent="0.25">
      <c r="D603" s="196"/>
      <c r="E603" s="196"/>
      <c r="F603" s="198"/>
      <c r="G603" s="198"/>
      <c r="H603" s="198"/>
      <c r="I603" s="198"/>
      <c r="J603" s="198"/>
      <c r="K603" s="198"/>
      <c r="L603" s="198"/>
      <c r="M603" s="198"/>
      <c r="N603" s="198"/>
      <c r="O603" s="198"/>
    </row>
    <row r="604" spans="4:15" x14ac:dyDescent="0.25">
      <c r="D604" s="196"/>
      <c r="E604" s="196"/>
      <c r="F604" s="198"/>
      <c r="G604" s="198"/>
      <c r="H604" s="198"/>
      <c r="I604" s="198"/>
      <c r="J604" s="198"/>
      <c r="K604" s="198"/>
      <c r="L604" s="198"/>
      <c r="M604" s="198"/>
      <c r="N604" s="198"/>
      <c r="O604" s="198"/>
    </row>
    <row r="605" spans="4:15" x14ac:dyDescent="0.25">
      <c r="D605" s="196"/>
      <c r="E605" s="196"/>
      <c r="F605" s="198"/>
      <c r="G605" s="198"/>
      <c r="H605" s="198"/>
      <c r="I605" s="198"/>
      <c r="J605" s="198"/>
      <c r="K605" s="198"/>
      <c r="L605" s="198"/>
      <c r="M605" s="198"/>
      <c r="N605" s="198"/>
      <c r="O605" s="198"/>
    </row>
    <row r="606" spans="4:15" x14ac:dyDescent="0.25">
      <c r="D606" s="196"/>
      <c r="E606" s="196"/>
      <c r="F606" s="198"/>
      <c r="G606" s="198"/>
      <c r="H606" s="198"/>
      <c r="I606" s="198"/>
      <c r="J606" s="198"/>
      <c r="K606" s="198"/>
      <c r="L606" s="198"/>
      <c r="M606" s="198"/>
      <c r="N606" s="198"/>
      <c r="O606" s="198"/>
    </row>
    <row r="607" spans="4:15" x14ac:dyDescent="0.25">
      <c r="D607" s="196"/>
      <c r="E607" s="196"/>
      <c r="F607" s="198"/>
      <c r="G607" s="198"/>
      <c r="H607" s="198"/>
      <c r="I607" s="198"/>
      <c r="J607" s="198"/>
      <c r="K607" s="198"/>
      <c r="L607" s="198"/>
      <c r="M607" s="198"/>
      <c r="N607" s="198"/>
      <c r="O607" s="198"/>
    </row>
    <row r="608" spans="4:15" x14ac:dyDescent="0.25">
      <c r="D608" s="196"/>
      <c r="E608" s="196"/>
      <c r="F608" s="198"/>
      <c r="G608" s="198"/>
      <c r="H608" s="198"/>
      <c r="I608" s="198"/>
      <c r="J608" s="198"/>
      <c r="K608" s="198"/>
      <c r="L608" s="198"/>
      <c r="M608" s="198"/>
      <c r="N608" s="198"/>
      <c r="O608" s="198"/>
    </row>
    <row r="609" spans="4:15" x14ac:dyDescent="0.25">
      <c r="D609" s="196"/>
      <c r="E609" s="196"/>
      <c r="F609" s="198"/>
      <c r="G609" s="198"/>
      <c r="H609" s="198"/>
      <c r="I609" s="198"/>
      <c r="J609" s="198"/>
      <c r="K609" s="198"/>
      <c r="L609" s="198"/>
      <c r="M609" s="198"/>
      <c r="N609" s="198"/>
      <c r="O609" s="198"/>
    </row>
    <row r="610" spans="4:15" x14ac:dyDescent="0.25">
      <c r="D610" s="196"/>
      <c r="E610" s="196"/>
      <c r="F610" s="198"/>
      <c r="G610" s="198"/>
      <c r="H610" s="198"/>
      <c r="I610" s="198"/>
      <c r="J610" s="198"/>
      <c r="K610" s="198"/>
      <c r="L610" s="198"/>
      <c r="M610" s="198"/>
      <c r="N610" s="198"/>
      <c r="O610" s="198"/>
    </row>
    <row r="611" spans="4:15" x14ac:dyDescent="0.25">
      <c r="D611" s="196"/>
      <c r="E611" s="196"/>
      <c r="F611" s="198"/>
      <c r="G611" s="198"/>
      <c r="H611" s="198"/>
      <c r="I611" s="198"/>
      <c r="J611" s="198"/>
      <c r="K611" s="198"/>
      <c r="L611" s="198"/>
      <c r="M611" s="198"/>
      <c r="N611" s="198"/>
      <c r="O611" s="198"/>
    </row>
    <row r="612" spans="4:15" x14ac:dyDescent="0.25">
      <c r="D612" s="196"/>
      <c r="E612" s="196"/>
      <c r="F612" s="198"/>
      <c r="G612" s="198"/>
      <c r="H612" s="198"/>
      <c r="I612" s="198"/>
      <c r="J612" s="198"/>
      <c r="K612" s="198"/>
      <c r="L612" s="198"/>
      <c r="M612" s="198"/>
      <c r="N612" s="198"/>
      <c r="O612" s="198"/>
    </row>
    <row r="613" spans="4:15" x14ac:dyDescent="0.25">
      <c r="D613" s="196"/>
      <c r="E613" s="196"/>
      <c r="F613" s="198"/>
      <c r="G613" s="198"/>
      <c r="H613" s="198"/>
      <c r="I613" s="198"/>
      <c r="J613" s="198"/>
      <c r="K613" s="198"/>
      <c r="L613" s="198"/>
      <c r="M613" s="198"/>
      <c r="N613" s="198"/>
      <c r="O613" s="198"/>
    </row>
    <row r="614" spans="4:15" x14ac:dyDescent="0.25">
      <c r="D614" s="196"/>
      <c r="E614" s="196"/>
      <c r="F614" s="198"/>
      <c r="G614" s="198"/>
      <c r="H614" s="198"/>
      <c r="I614" s="198"/>
      <c r="J614" s="198"/>
      <c r="K614" s="198"/>
      <c r="L614" s="198"/>
      <c r="M614" s="198"/>
      <c r="N614" s="198"/>
      <c r="O614" s="198"/>
    </row>
    <row r="615" spans="4:15" x14ac:dyDescent="0.25">
      <c r="D615" s="196"/>
      <c r="E615" s="196"/>
      <c r="F615" s="198"/>
      <c r="G615" s="198"/>
      <c r="H615" s="198"/>
      <c r="I615" s="198"/>
      <c r="J615" s="198"/>
      <c r="K615" s="198"/>
      <c r="L615" s="198"/>
      <c r="M615" s="198"/>
      <c r="N615" s="198"/>
      <c r="O615" s="198"/>
    </row>
    <row r="616" spans="4:15" x14ac:dyDescent="0.25">
      <c r="D616" s="196"/>
      <c r="E616" s="196"/>
      <c r="F616" s="198"/>
      <c r="G616" s="198"/>
      <c r="H616" s="198"/>
      <c r="I616" s="198"/>
      <c r="J616" s="198"/>
      <c r="K616" s="198"/>
      <c r="L616" s="198"/>
      <c r="M616" s="198"/>
      <c r="N616" s="198"/>
      <c r="O616" s="198"/>
    </row>
    <row r="617" spans="4:15" x14ac:dyDescent="0.25">
      <c r="D617" s="196"/>
      <c r="E617" s="196"/>
      <c r="F617" s="198"/>
      <c r="G617" s="198"/>
      <c r="H617" s="198"/>
      <c r="I617" s="198"/>
      <c r="J617" s="198"/>
      <c r="K617" s="198"/>
      <c r="L617" s="198"/>
      <c r="M617" s="198"/>
      <c r="N617" s="198"/>
      <c r="O617" s="198"/>
    </row>
    <row r="618" spans="4:15" x14ac:dyDescent="0.25">
      <c r="D618" s="196"/>
      <c r="E618" s="196"/>
      <c r="F618" s="198"/>
      <c r="G618" s="198"/>
      <c r="H618" s="198"/>
      <c r="I618" s="198"/>
      <c r="J618" s="198"/>
      <c r="K618" s="198"/>
      <c r="L618" s="198"/>
      <c r="M618" s="198"/>
      <c r="N618" s="198"/>
      <c r="O618" s="198"/>
    </row>
    <row r="619" spans="4:15" x14ac:dyDescent="0.25">
      <c r="D619" s="196"/>
      <c r="E619" s="196"/>
      <c r="F619" s="198"/>
      <c r="G619" s="198"/>
      <c r="H619" s="198"/>
      <c r="I619" s="198"/>
      <c r="J619" s="198"/>
      <c r="K619" s="198"/>
      <c r="L619" s="198"/>
      <c r="M619" s="198"/>
      <c r="N619" s="198"/>
      <c r="O619" s="198"/>
    </row>
    <row r="620" spans="4:15" x14ac:dyDescent="0.25">
      <c r="D620" s="196"/>
      <c r="E620" s="196"/>
      <c r="F620" s="198"/>
      <c r="G620" s="198"/>
      <c r="H620" s="198"/>
      <c r="I620" s="198"/>
      <c r="J620" s="198"/>
      <c r="K620" s="198"/>
      <c r="L620" s="198"/>
      <c r="M620" s="198"/>
      <c r="N620" s="198"/>
      <c r="O620" s="198"/>
    </row>
    <row r="621" spans="4:15" x14ac:dyDescent="0.25">
      <c r="D621" s="196"/>
      <c r="E621" s="196"/>
      <c r="F621" s="198"/>
      <c r="G621" s="198"/>
      <c r="H621" s="198"/>
      <c r="I621" s="198"/>
      <c r="J621" s="198"/>
      <c r="K621" s="198"/>
      <c r="L621" s="198"/>
      <c r="M621" s="198"/>
      <c r="N621" s="198"/>
      <c r="O621" s="198"/>
    </row>
    <row r="622" spans="4:15" x14ac:dyDescent="0.25">
      <c r="D622" s="196"/>
      <c r="E622" s="196"/>
      <c r="F622" s="198"/>
      <c r="G622" s="198"/>
      <c r="H622" s="198"/>
      <c r="I622" s="198"/>
      <c r="J622" s="198"/>
      <c r="K622" s="198"/>
      <c r="L622" s="198"/>
      <c r="M622" s="198"/>
      <c r="N622" s="198"/>
      <c r="O622" s="198"/>
    </row>
    <row r="623" spans="4:15" x14ac:dyDescent="0.25">
      <c r="D623" s="196"/>
      <c r="E623" s="196"/>
      <c r="F623" s="198"/>
      <c r="G623" s="198"/>
      <c r="H623" s="198"/>
      <c r="I623" s="198"/>
      <c r="J623" s="198"/>
      <c r="K623" s="198"/>
      <c r="L623" s="198"/>
      <c r="M623" s="198"/>
      <c r="N623" s="198"/>
      <c r="O623" s="198"/>
    </row>
    <row r="624" spans="4:15" x14ac:dyDescent="0.25">
      <c r="D624" s="196"/>
      <c r="E624" s="196"/>
      <c r="F624" s="198"/>
      <c r="G624" s="198"/>
      <c r="H624" s="198"/>
      <c r="I624" s="198"/>
      <c r="J624" s="198"/>
      <c r="K624" s="198"/>
      <c r="L624" s="198"/>
      <c r="M624" s="198"/>
      <c r="N624" s="198"/>
      <c r="O624" s="198"/>
    </row>
    <row r="625" spans="4:15" x14ac:dyDescent="0.25">
      <c r="D625" s="196"/>
      <c r="E625" s="196"/>
      <c r="F625" s="198"/>
      <c r="G625" s="198"/>
      <c r="H625" s="198"/>
      <c r="I625" s="198"/>
      <c r="J625" s="198"/>
      <c r="K625" s="198"/>
      <c r="L625" s="198"/>
      <c r="M625" s="198"/>
      <c r="N625" s="198"/>
      <c r="O625" s="198"/>
    </row>
  </sheetData>
  <autoFilter ref="A1:W1">
    <filterColumn colId="7" showButton="0"/>
    <filterColumn colId="9" showButton="0"/>
    <filterColumn colId="11" showButton="0"/>
    <filterColumn colId="13" showButton="0"/>
    <filterColumn colId="21" showButton="0"/>
  </autoFilter>
  <mergeCells count="5">
    <mergeCell ref="H1:I1"/>
    <mergeCell ref="J1:K1"/>
    <mergeCell ref="L1:M1"/>
    <mergeCell ref="N1:O1"/>
    <mergeCell ref="V1:W1"/>
  </mergeCells>
  <conditionalFormatting sqref="P2">
    <cfRule type="cellIs" dxfId="474" priority="2" operator="lessThan">
      <formula>$S$1</formula>
    </cfRule>
  </conditionalFormatting>
  <conditionalFormatting sqref="P3:P122">
    <cfRule type="cellIs" dxfId="473" priority="1" operator="lessThan">
      <formula>$S$1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>
      <selection activeCell="A3" sqref="A3:D3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20.10937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39" t="s">
        <v>69</v>
      </c>
      <c r="B3" s="401">
        <v>0.8</v>
      </c>
      <c r="C3" s="401"/>
      <c r="D3" s="402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3</v>
      </c>
      <c r="D5" s="104">
        <v>6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92.376043070340131</v>
      </c>
      <c r="C6" s="106">
        <f>(((SQRT(C5)*$B$3)/SQRT(3))*$C$15)/$A6</f>
        <v>160</v>
      </c>
      <c r="D6" s="106">
        <f>(((SQRT(D5)*$B$3)/SQRT(3))*$C$15)/$A6</f>
        <v>226.27416997969522</v>
      </c>
      <c r="F6" s="107" t="str">
        <f>_1911b</f>
        <v>Lechler</v>
      </c>
      <c r="G6" s="107" t="str">
        <f>_1911c</f>
        <v>IDKT 120 02</v>
      </c>
      <c r="H6" s="108">
        <f>_1911h</f>
        <v>1.5</v>
      </c>
      <c r="I6" s="109" t="str">
        <f>IF(H6="","","bis")</f>
        <v>bis</v>
      </c>
      <c r="J6" s="110">
        <f>_1911i</f>
        <v>5</v>
      </c>
      <c r="K6" s="111">
        <f>(((SQRT($H6)*$B$3)/SQRT(3))*60000)/($B$12*$B$15)</f>
        <v>4.5254833995939041</v>
      </c>
      <c r="L6" s="109" t="str">
        <f>IF(K6="","","bis")</f>
        <v>bis</v>
      </c>
      <c r="M6" s="112">
        <f>(((SQRT($J6)*$B$3)/SQRT(3))*60000)/($B$12*$B$15)</f>
        <v>8.2623644719091569</v>
      </c>
      <c r="N6" s="110">
        <f>_1911j</f>
        <v>1.5</v>
      </c>
      <c r="O6" s="109" t="str">
        <f>IF(N6="","","bis")</f>
        <v>bis</v>
      </c>
      <c r="P6" s="112">
        <f>_1911k</f>
        <v>3</v>
      </c>
      <c r="Q6" s="111">
        <f>(((SQRT($N6)*$B$3)/SQRT(3))*60000)/($B$12*$B$15)</f>
        <v>4.5254833995939041</v>
      </c>
      <c r="R6" s="109" t="str">
        <f>IF(Q6="","","bis")</f>
        <v>bis</v>
      </c>
      <c r="S6" s="112">
        <f>(((SQRT($P6)*$B$3)/SQRT(3))*60000)/($B$12*$B$15)</f>
        <v>6.4</v>
      </c>
      <c r="T6" s="111">
        <f>_1911l</f>
        <v>1.5</v>
      </c>
      <c r="U6" s="109" t="str">
        <f>IF(T6="","","bis")</f>
        <v>bis</v>
      </c>
      <c r="V6" s="110">
        <f>_1911m</f>
        <v>1.5</v>
      </c>
      <c r="W6" s="111">
        <f>(((SQRT($T6)*$B$3)/SQRT(3))*60000)/($B$12*$B$15)</f>
        <v>4.5254833995939041</v>
      </c>
      <c r="X6" s="109" t="str">
        <f>IF(W6="","","bis")</f>
        <v>bis</v>
      </c>
      <c r="Y6" s="110">
        <f>(((SQRT($V6)*$B$3)/SQRT(3))*60000)/($B$12*$B$15)</f>
        <v>4.5254833995939041</v>
      </c>
      <c r="Z6" s="113">
        <f>_1911f</f>
        <v>1.5</v>
      </c>
      <c r="AA6" s="109" t="str">
        <f>IF(Z6="","","bis")</f>
        <v>bis</v>
      </c>
      <c r="AB6" s="114">
        <f>_1911g</f>
        <v>6</v>
      </c>
    </row>
    <row r="7" spans="1:28" ht="18.75" thickBot="1" x14ac:dyDescent="0.3">
      <c r="A7" s="135">
        <v>7</v>
      </c>
      <c r="B7" s="106">
        <f>(((SQRT(B5)*$B$3)/SQRT(3))*$C$15)/$A7</f>
        <v>79.179465488862974</v>
      </c>
      <c r="C7" s="106">
        <f>(((SQRT(C5)*$B$3)/SQRT(3))*$C$15)/$A7</f>
        <v>137.14285714285714</v>
      </c>
      <c r="D7" s="106">
        <f>(((SQRT(D5)*$B$3)/SQRT(3))*$C$15)/$A7</f>
        <v>193.94928855402446</v>
      </c>
      <c r="F7" s="107" t="str">
        <f>_2128b</f>
        <v>Hardi</v>
      </c>
      <c r="G7" s="107" t="str">
        <f>_2128c</f>
        <v>Minidrift Duo 110 02</v>
      </c>
      <c r="H7" s="108">
        <f>_2128h</f>
        <v>1.5</v>
      </c>
      <c r="I7" s="109" t="str">
        <f>IF(H7="","","bis")</f>
        <v>bis</v>
      </c>
      <c r="J7" s="112">
        <f>_2128i</f>
        <v>5</v>
      </c>
      <c r="K7" s="111">
        <f>(((SQRT($H7)*$B$3)/SQRT(3))*60000)/($B$12*$B$15)</f>
        <v>4.5254833995939041</v>
      </c>
      <c r="L7" s="109" t="str">
        <f>IF(K7="","","bis")</f>
        <v>bis</v>
      </c>
      <c r="M7" s="112">
        <f>(((SQRT($J7)*$B$3)/SQRT(3))*60000)/($B$12*$B$15)</f>
        <v>8.2623644719091569</v>
      </c>
      <c r="N7" s="111">
        <f>_2128j</f>
        <v>1.5</v>
      </c>
      <c r="O7" s="109" t="str">
        <f>IF(N7="","","bis")</f>
        <v>bis</v>
      </c>
      <c r="P7" s="112">
        <f>_2128k</f>
        <v>3</v>
      </c>
      <c r="Q7" s="111">
        <f>(((SQRT($N7)*$B$3)/SQRT(3))*60000)/($B$12*$B$15)</f>
        <v>4.5254833995939041</v>
      </c>
      <c r="R7" s="109" t="str">
        <f>IF(Q7="","","bis")</f>
        <v>bis</v>
      </c>
      <c r="S7" s="112">
        <f>(((SQRT($P7)*$B$3)/SQRT(3))*60000)/($B$12*$B$15)</f>
        <v>6.4</v>
      </c>
      <c r="T7" s="111">
        <f>_2128l</f>
        <v>1.5</v>
      </c>
      <c r="U7" s="109" t="str">
        <f>IF(T7="","","bis")</f>
        <v>bis</v>
      </c>
      <c r="V7" s="112">
        <f>_2128m</f>
        <v>1.5</v>
      </c>
      <c r="W7" s="111">
        <f>(((SQRT($T7)*$B$3)/SQRT(3))*60000)/($B$12*$B$15)</f>
        <v>4.5254833995939041</v>
      </c>
      <c r="X7" s="109" t="str">
        <f>IF(W7="","","bis")</f>
        <v>bis</v>
      </c>
      <c r="Y7" s="112">
        <f>(((SQRT($V7)*$B$3)/SQRT(3))*60000)/($B$12*$B$15)</f>
        <v>4.5254833995939041</v>
      </c>
      <c r="Z7" s="113">
        <f>_2128f</f>
        <v>1.5</v>
      </c>
      <c r="AA7" s="109" t="str">
        <f>IF(Z7="","","bis")</f>
        <v>bis</v>
      </c>
      <c r="AB7" s="114">
        <f>_2128g</f>
        <v>6</v>
      </c>
    </row>
    <row r="8" spans="1:28" ht="18.75" thickBot="1" x14ac:dyDescent="0.3">
      <c r="A8" s="135">
        <v>8</v>
      </c>
      <c r="B8" s="106">
        <f>(((SQRT(B5)*$B$3)/SQRT(3))*$C$15)/$A8</f>
        <v>69.282032302755098</v>
      </c>
      <c r="C8" s="106">
        <f>(((SQRT(C5)*$B$3)/SQRT(3))*1200)/$A8</f>
        <v>120</v>
      </c>
      <c r="D8" s="106">
        <f>(((SQRT(D5)*$B$3)/SQRT(3))*1200)/$A8</f>
        <v>169.70562748477141</v>
      </c>
      <c r="F8" s="107"/>
      <c r="G8" s="107"/>
      <c r="H8" s="108"/>
      <c r="I8" s="109" t="str">
        <f>IF(H8="","","bis")</f>
        <v/>
      </c>
      <c r="J8" s="112"/>
      <c r="K8" s="111">
        <f>(((SQRT($H8)*$B$3)/SQRT(3))*60000)/($B$12*$B$15)</f>
        <v>0</v>
      </c>
      <c r="L8" s="109" t="str">
        <f>IF(K8="","","bis")</f>
        <v>bis</v>
      </c>
      <c r="M8" s="112">
        <f>(((SQRT($J8)*$B$3)/SQRT(3))*60000)/($B$12*$B$15)</f>
        <v>0</v>
      </c>
      <c r="N8" s="111"/>
      <c r="O8" s="109" t="str">
        <f>IF(N8="","","bis")</f>
        <v/>
      </c>
      <c r="P8" s="112"/>
      <c r="Q8" s="111">
        <f>(((SQRT($N8)*$B$3)/SQRT(3))*60000)/($B$12*$B$15)</f>
        <v>0</v>
      </c>
      <c r="R8" s="109" t="str">
        <f>IF(Q8="","","bis")</f>
        <v>bis</v>
      </c>
      <c r="S8" s="112">
        <f>(((SQRT($P8)*$B$3)/SQRT(3))*60000)/($B$12*$B$15)</f>
        <v>0</v>
      </c>
      <c r="T8" s="111"/>
      <c r="U8" s="109" t="str">
        <f>IF(T8="","","bis")</f>
        <v/>
      </c>
      <c r="V8" s="112"/>
      <c r="W8" s="111">
        <f>(((SQRT($T8)*$B$3)/SQRT(3))*60000)/($B$12*$B$15)</f>
        <v>0</v>
      </c>
      <c r="X8" s="109" t="str">
        <f>IF(W8="","","bis")</f>
        <v>bis</v>
      </c>
      <c r="Y8" s="112">
        <f>(((SQRT($V8)*$B$3)/SQRT(3))*60000)/($B$12*$B$15)</f>
        <v>0</v>
      </c>
      <c r="Z8" s="113"/>
      <c r="AA8" s="109" t="str">
        <f>IF(Z8="","","bis")</f>
        <v/>
      </c>
      <c r="AB8" s="114"/>
    </row>
    <row r="9" spans="1:28" ht="18.75" thickBot="1" x14ac:dyDescent="0.3">
      <c r="A9" s="135">
        <v>9</v>
      </c>
      <c r="B9" s="106">
        <f>(((SQRT(B5)*$B$3)/SQRT(3))*$C$15)/$A9</f>
        <v>61.584028713560087</v>
      </c>
      <c r="C9" s="106">
        <f>(((SQRT(C5)*$B$3)/SQRT(3))*$C$15)/$A9</f>
        <v>106.66666666666667</v>
      </c>
      <c r="D9" s="106">
        <f>(((SQRT(D5)*$B$3)/SQRT(3))*$C$15)/$A9</f>
        <v>150.84944665313014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(((SQRT($H9)*$B$3)/SQRT(3))*60000)/($B$12*$B$15)</f>
        <v>0</v>
      </c>
      <c r="L9" s="109" t="str">
        <f>IF(K9="","","bis")</f>
        <v>bis</v>
      </c>
      <c r="M9" s="112">
        <f>(((SQRT($J9)*$B$3)/SQRT(3))*60000)/($B$12*$B$15)</f>
        <v>0</v>
      </c>
      <c r="N9" s="111"/>
      <c r="O9" s="109" t="str">
        <f>IF(N9="","","bis")</f>
        <v/>
      </c>
      <c r="P9" s="112"/>
      <c r="Q9" s="111">
        <f>(((SQRT($N9)*$B$3)/SQRT(3))*60000)/($B$12*$B$15)</f>
        <v>0</v>
      </c>
      <c r="R9" s="109" t="str">
        <f>IF(Q9="","","bis")</f>
        <v>bis</v>
      </c>
      <c r="S9" s="112">
        <f>(((SQRT($P9)*$B$3)/SQRT(3))*60000)/($B$12*$B$15)</f>
        <v>0</v>
      </c>
      <c r="T9" s="111"/>
      <c r="U9" s="109" t="str">
        <f>IF(T9="","","bis")</f>
        <v/>
      </c>
      <c r="V9" s="110"/>
      <c r="W9" s="111">
        <f>(((SQRT($T9)*$B$3)/SQRT(3))*60000)/($B$12*$B$15)</f>
        <v>0</v>
      </c>
      <c r="X9" s="109" t="str">
        <f>IF(W9="","","bis")</f>
        <v>bis</v>
      </c>
      <c r="Y9" s="112">
        <f>(((SQRT($V9)*$B$3)/SQRT(3))*60000)/($B$12*$B$15)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10</v>
      </c>
      <c r="B10" s="115">
        <f>(((SQRT(B5)*$B$3)/SQRT(3))*$C$15)/$A10</f>
        <v>55.425625842204077</v>
      </c>
      <c r="C10" s="115">
        <f>(((SQRT(C5)*$B$3)/SQRT(3))*$C$15)/$A10</f>
        <v>96</v>
      </c>
      <c r="D10" s="115">
        <f>(((SQRT(D5)*$B$3)/SQRT(3))*$C$15)/$A10</f>
        <v>135.76450198781714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150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7.3242187499999973</v>
      </c>
      <c r="C13" s="124">
        <f>(B12*B14*B15)/60000</f>
        <v>1.25</v>
      </c>
      <c r="D13" s="120">
        <f>POWER(((SQRT(3)*$E$13)/$B$3),2)</f>
        <v>39.876302083333314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10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egZss1udUbT47ySiQj1jc6hofrFje1PdUU0e2FQ63p66y6iexcRKqzlxK5N9ffpkfQoJITnq8+SLxESbarPHUA==" saltValue="9q0PNYD0DkRl8gwvLY/Etw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419" priority="15" operator="greaterThan">
      <formula>$B$12</formula>
    </cfRule>
  </conditionalFormatting>
  <conditionalFormatting sqref="C6">
    <cfRule type="cellIs" dxfId="418" priority="14" operator="greaterThan">
      <formula>$B$12</formula>
    </cfRule>
  </conditionalFormatting>
  <conditionalFormatting sqref="D6">
    <cfRule type="cellIs" dxfId="417" priority="13" operator="greaterThan">
      <formula>$B$12</formula>
    </cfRule>
  </conditionalFormatting>
  <conditionalFormatting sqref="B7">
    <cfRule type="cellIs" dxfId="416" priority="12" operator="greaterThan">
      <formula>$B$12</formula>
    </cfRule>
  </conditionalFormatting>
  <conditionalFormatting sqref="C7">
    <cfRule type="cellIs" dxfId="415" priority="11" operator="greaterThan">
      <formula>$B$12</formula>
    </cfRule>
  </conditionalFormatting>
  <conditionalFormatting sqref="D7">
    <cfRule type="cellIs" dxfId="414" priority="10" operator="greaterThan">
      <formula>$B$12</formula>
    </cfRule>
  </conditionalFormatting>
  <conditionalFormatting sqref="B8">
    <cfRule type="cellIs" dxfId="413" priority="9" operator="greaterThan">
      <formula>$B$12</formula>
    </cfRule>
  </conditionalFormatting>
  <conditionalFormatting sqref="B9">
    <cfRule type="cellIs" dxfId="412" priority="8" operator="greaterThan">
      <formula>$B$12</formula>
    </cfRule>
  </conditionalFormatting>
  <conditionalFormatting sqref="B10">
    <cfRule type="cellIs" dxfId="411" priority="7" operator="greaterThan">
      <formula>$B$12</formula>
    </cfRule>
  </conditionalFormatting>
  <conditionalFormatting sqref="C8">
    <cfRule type="cellIs" dxfId="410" priority="6" operator="greaterThan">
      <formula>$B$12</formula>
    </cfRule>
  </conditionalFormatting>
  <conditionalFormatting sqref="D8">
    <cfRule type="cellIs" dxfId="409" priority="5" operator="greaterThan">
      <formula>$B$12</formula>
    </cfRule>
  </conditionalFormatting>
  <conditionalFormatting sqref="C9">
    <cfRule type="cellIs" dxfId="408" priority="4" operator="greaterThan">
      <formula>$B$12</formula>
    </cfRule>
  </conditionalFormatting>
  <conditionalFormatting sqref="D9">
    <cfRule type="cellIs" dxfId="407" priority="3" operator="greaterThan">
      <formula>$B$12</formula>
    </cfRule>
  </conditionalFormatting>
  <conditionalFormatting sqref="C10">
    <cfRule type="cellIs" dxfId="406" priority="2" operator="greaterThan">
      <formula>$B$12</formula>
    </cfRule>
  </conditionalFormatting>
  <conditionalFormatting sqref="D10">
    <cfRule type="cellIs" dxfId="405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20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39" t="s">
        <v>69</v>
      </c>
      <c r="B3" s="401">
        <v>0.8</v>
      </c>
      <c r="C3" s="401"/>
      <c r="D3" s="402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2</v>
      </c>
      <c r="C5" s="104">
        <v>5</v>
      </c>
      <c r="D5" s="104">
        <v>8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130.6394529484362</v>
      </c>
      <c r="C6" s="106">
        <f>(((SQRT(C5)*$B$3)/SQRT(3))*$C$15)/$A6</f>
        <v>206.55911179772895</v>
      </c>
      <c r="D6" s="106">
        <f>(((SQRT(D5)*$B$3)/SQRT(3))*$C$15)/$A6</f>
        <v>261.2789058968724</v>
      </c>
      <c r="F6" s="107" t="str">
        <f>_2084b</f>
        <v>TeeJet</v>
      </c>
      <c r="G6" s="107" t="str">
        <f>_2084c</f>
        <v>TTI60-110 02 VP-C</v>
      </c>
      <c r="H6" s="108">
        <f>_2084h</f>
        <v>1.5</v>
      </c>
      <c r="I6" s="109" t="str">
        <f>IF(H6="","","bis")</f>
        <v>bis</v>
      </c>
      <c r="J6" s="110">
        <f>_2084i</f>
        <v>6</v>
      </c>
      <c r="K6" s="111">
        <f>(((SQRT($H6)*$B$3)/SQRT(3))*60000)/($B$12*$B$15)</f>
        <v>4.5254833995939041</v>
      </c>
      <c r="L6" s="109" t="str">
        <f>IF(K6="","","bis")</f>
        <v>bis</v>
      </c>
      <c r="M6" s="112">
        <f>(((SQRT($J6)*$B$3)/SQRT(3))*60000)/($B$12*$B$15)</f>
        <v>9.0509667991878082</v>
      </c>
      <c r="N6" s="110">
        <f>_2084j</f>
        <v>1.5</v>
      </c>
      <c r="O6" s="109" t="str">
        <f>IF(N6="","","bis")</f>
        <v>bis</v>
      </c>
      <c r="P6" s="112">
        <f>_2084k</f>
        <v>3</v>
      </c>
      <c r="Q6" s="111">
        <f>(((SQRT($N6)*$B$3)/SQRT(3))*60000)/($B$12*$B$15)</f>
        <v>4.5254833995939041</v>
      </c>
      <c r="R6" s="109" t="str">
        <f>IF(Q6="","","bis")</f>
        <v>bis</v>
      </c>
      <c r="S6" s="112">
        <f>(((SQRT($P6)*$B$3)/SQRT(3))*60000)/($B$12*$B$15)</f>
        <v>6.4</v>
      </c>
      <c r="T6" s="111">
        <f>_2084l</f>
        <v>1.5</v>
      </c>
      <c r="U6" s="109" t="str">
        <f>IF(T6="","","bis")</f>
        <v>bis</v>
      </c>
      <c r="V6" s="110">
        <f>_2084m</f>
        <v>1.5</v>
      </c>
      <c r="W6" s="111">
        <f>(((SQRT($T6)*$B$3)/SQRT(3))*60000)/($B$12*$B$15)</f>
        <v>4.5254833995939041</v>
      </c>
      <c r="X6" s="109" t="str">
        <f>IF(W6="","","bis")</f>
        <v>bis</v>
      </c>
      <c r="Y6" s="110">
        <f>(((SQRT($V6)*$B$3)/SQRT(3))*60000)/($B$12*$B$15)</f>
        <v>4.5254833995939041</v>
      </c>
      <c r="Z6" s="113">
        <f>_2084f</f>
        <v>1.5</v>
      </c>
      <c r="AA6" s="109" t="str">
        <f>IF(Z6="","","bis")</f>
        <v>bis</v>
      </c>
      <c r="AB6" s="114">
        <f>_2084g</f>
        <v>7</v>
      </c>
    </row>
    <row r="7" spans="1:28" ht="18.75" thickBot="1" x14ac:dyDescent="0.3">
      <c r="A7" s="135">
        <v>7</v>
      </c>
      <c r="B7" s="106">
        <f>(((SQRT(B5)*$B$3)/SQRT(3))*$C$15)/$A7</f>
        <v>111.97667395580245</v>
      </c>
      <c r="C7" s="106">
        <f>(((SQRT(C5)*$B$3)/SQRT(3))*$C$15)/$A7</f>
        <v>177.05066725519623</v>
      </c>
      <c r="D7" s="106">
        <f>(((SQRT(D5)*$B$3)/SQRT(3))*$C$15)/$A7</f>
        <v>223.95334791160491</v>
      </c>
      <c r="F7" s="107"/>
      <c r="G7" s="107"/>
      <c r="H7" s="108"/>
      <c r="I7" s="109" t="str">
        <f>IF(H7="","","bis")</f>
        <v/>
      </c>
      <c r="J7" s="112"/>
      <c r="K7" s="111">
        <f>(((SQRT($H7)*$B$3)/SQRT(3))*60000)/($B$12*$B$15)</f>
        <v>0</v>
      </c>
      <c r="L7" s="109" t="str">
        <f>IF(K7="","","bis")</f>
        <v>bis</v>
      </c>
      <c r="M7" s="112">
        <f>(((SQRT($J7)*$B$3)/SQRT(3))*60000)/($B$12*$B$15)</f>
        <v>0</v>
      </c>
      <c r="N7" s="111"/>
      <c r="O7" s="109" t="str">
        <f>IF(N7="","","bis")</f>
        <v/>
      </c>
      <c r="P7" s="112"/>
      <c r="Q7" s="111">
        <f>(((SQRT($N7)*$B$3)/SQRT(3))*60000)/($B$12*$B$15)</f>
        <v>0</v>
      </c>
      <c r="R7" s="109" t="str">
        <f>IF(Q7="","","bis")</f>
        <v>bis</v>
      </c>
      <c r="S7" s="112">
        <f>(((SQRT($P7)*$B$3)/SQRT(3))*60000)/($B$12*$B$15)</f>
        <v>0</v>
      </c>
      <c r="T7" s="111"/>
      <c r="U7" s="109" t="str">
        <f>IF(T7="","","bis")</f>
        <v/>
      </c>
      <c r="V7" s="112"/>
      <c r="W7" s="111">
        <f>(((SQRT($T7)*$B$3)/SQRT(3))*60000)/($B$12*$B$15)</f>
        <v>0</v>
      </c>
      <c r="X7" s="109" t="str">
        <f>IF(W7="","","bis")</f>
        <v>bis</v>
      </c>
      <c r="Y7" s="112">
        <f>(((SQRT($V7)*$B$3)/SQRT(3))*60000)/($B$12*$B$15)</f>
        <v>0</v>
      </c>
      <c r="Z7" s="113"/>
      <c r="AA7" s="109" t="str">
        <f>IF(Z7="","","bis")</f>
        <v/>
      </c>
      <c r="AB7" s="114"/>
    </row>
    <row r="8" spans="1:28" ht="18.75" thickBot="1" x14ac:dyDescent="0.3">
      <c r="A8" s="135">
        <v>8</v>
      </c>
      <c r="B8" s="106">
        <f>(((SQRT(B5)*$B$3)/SQRT(3))*$C$15)/$A8</f>
        <v>97.979589711327151</v>
      </c>
      <c r="C8" s="106">
        <f>(((SQRT(C5)*$B$3)/SQRT(3))*1200)/$A8</f>
        <v>154.9193338482967</v>
      </c>
      <c r="D8" s="106">
        <f>(((SQRT(D5)*$B$3)/SQRT(3))*1200)/$A8</f>
        <v>195.9591794226543</v>
      </c>
      <c r="F8" s="107"/>
      <c r="G8" s="107"/>
      <c r="H8" s="108"/>
      <c r="I8" s="109" t="str">
        <f>IF(H8="","","bis")</f>
        <v/>
      </c>
      <c r="J8" s="112"/>
      <c r="K8" s="111">
        <f>(((SQRT($H8)*$B$3)/SQRT(3))*60000)/($B$12*$B$15)</f>
        <v>0</v>
      </c>
      <c r="L8" s="109" t="str">
        <f>IF(K8="","","bis")</f>
        <v>bis</v>
      </c>
      <c r="M8" s="112">
        <f>(((SQRT($J8)*$B$3)/SQRT(3))*60000)/($B$12*$B$15)</f>
        <v>0</v>
      </c>
      <c r="N8" s="111"/>
      <c r="O8" s="109" t="str">
        <f>IF(N8="","","bis")</f>
        <v/>
      </c>
      <c r="P8" s="112"/>
      <c r="Q8" s="111">
        <f>(((SQRT($N8)*$B$3)/SQRT(3))*60000)/($B$12*$B$15)</f>
        <v>0</v>
      </c>
      <c r="R8" s="109" t="str">
        <f>IF(Q8="","","bis")</f>
        <v>bis</v>
      </c>
      <c r="S8" s="112">
        <f>(((SQRT($P8)*$B$3)/SQRT(3))*60000)/($B$12*$B$15)</f>
        <v>0</v>
      </c>
      <c r="T8" s="111"/>
      <c r="U8" s="109" t="str">
        <f>IF(T8="","","bis")</f>
        <v/>
      </c>
      <c r="V8" s="112"/>
      <c r="W8" s="111">
        <f>(((SQRT($T8)*$B$3)/SQRT(3))*60000)/($B$12*$B$15)</f>
        <v>0</v>
      </c>
      <c r="X8" s="109" t="str">
        <f>IF(W8="","","bis")</f>
        <v>bis</v>
      </c>
      <c r="Y8" s="112">
        <f>(((SQRT($V8)*$B$3)/SQRT(3))*60000)/($B$12*$B$15)</f>
        <v>0</v>
      </c>
      <c r="Z8" s="113"/>
      <c r="AA8" s="109" t="str">
        <f>IF(Z8="","","bis")</f>
        <v/>
      </c>
      <c r="AB8" s="114"/>
    </row>
    <row r="9" spans="1:28" ht="18.75" thickBot="1" x14ac:dyDescent="0.3">
      <c r="A9" s="135">
        <v>9</v>
      </c>
      <c r="B9" s="106">
        <f>(((SQRT(B5)*$B$3)/SQRT(3))*$C$15)/$A9</f>
        <v>87.092968632290805</v>
      </c>
      <c r="C9" s="106">
        <f>(((SQRT(C5)*$B$3)/SQRT(3))*$C$15)/$A9</f>
        <v>137.7060745318193</v>
      </c>
      <c r="D9" s="106">
        <f>(((SQRT(D5)*$B$3)/SQRT(3))*$C$15)/$A9</f>
        <v>174.18593726458161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(((SQRT($H9)*$B$3)/SQRT(3))*60000)/($B$12*$B$15)</f>
        <v>0</v>
      </c>
      <c r="L9" s="109" t="str">
        <f>IF(K9="","","bis")</f>
        <v>bis</v>
      </c>
      <c r="M9" s="112">
        <f>(((SQRT($J9)*$B$3)/SQRT(3))*60000)/($B$12*$B$15)</f>
        <v>0</v>
      </c>
      <c r="N9" s="111"/>
      <c r="O9" s="109" t="str">
        <f>IF(N9="","","bis")</f>
        <v/>
      </c>
      <c r="P9" s="112"/>
      <c r="Q9" s="111">
        <f>(((SQRT($N9)*$B$3)/SQRT(3))*60000)/($B$12*$B$15)</f>
        <v>0</v>
      </c>
      <c r="R9" s="109" t="str">
        <f>IF(Q9="","","bis")</f>
        <v>bis</v>
      </c>
      <c r="S9" s="112">
        <f>(((SQRT($P9)*$B$3)/SQRT(3))*60000)/($B$12*$B$15)</f>
        <v>0</v>
      </c>
      <c r="T9" s="111"/>
      <c r="U9" s="109" t="str">
        <f>IF(T9="","","bis")</f>
        <v/>
      </c>
      <c r="V9" s="110"/>
      <c r="W9" s="111">
        <f>(((SQRT($T9)*$B$3)/SQRT(3))*60000)/($B$12*$B$15)</f>
        <v>0</v>
      </c>
      <c r="X9" s="109" t="str">
        <f>IF(W9="","","bis")</f>
        <v>bis</v>
      </c>
      <c r="Y9" s="112">
        <f>(((SQRT($V9)*$B$3)/SQRT(3))*60000)/($B$12*$B$15)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10</v>
      </c>
      <c r="B10" s="115">
        <f>(((SQRT(B5)*$B$3)/SQRT(3))*$C$15)/$A10</f>
        <v>78.383671769061721</v>
      </c>
      <c r="C10" s="115">
        <f>(((SQRT(C5)*$B$3)/SQRT(3))*$C$15)/$A10</f>
        <v>123.93546707863736</v>
      </c>
      <c r="D10" s="115">
        <f>(((SQRT(D5)*$B$3)/SQRT(3))*$C$15)/$A10</f>
        <v>156.76734353812344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150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1.8310546874999993</v>
      </c>
      <c r="C13" s="124">
        <f>(B12*B14*B15)/60000</f>
        <v>0.625</v>
      </c>
      <c r="D13" s="120">
        <f>POWER(((SQRT(3)*$E$13)/$B$3),2)</f>
        <v>39.876302083333314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j4/epKcBVHLGl09aRV0zwVCuy/ecVgLMWxGK+HZlR65+CnVpzRfezRD5s2xED+7ROweXFwIKDurFQ7gHUcYzSw==" saltValue="n8l3PX8xZbAV0yD1n2Flsg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404" priority="15" operator="greaterThan">
      <formula>$B$12</formula>
    </cfRule>
  </conditionalFormatting>
  <conditionalFormatting sqref="C6">
    <cfRule type="cellIs" dxfId="403" priority="14" operator="greaterThan">
      <formula>$B$12</formula>
    </cfRule>
  </conditionalFormatting>
  <conditionalFormatting sqref="D6">
    <cfRule type="cellIs" dxfId="402" priority="13" operator="greaterThan">
      <formula>$B$12</formula>
    </cfRule>
  </conditionalFormatting>
  <conditionalFormatting sqref="B7">
    <cfRule type="cellIs" dxfId="401" priority="12" operator="greaterThan">
      <formula>$B$12</formula>
    </cfRule>
  </conditionalFormatting>
  <conditionalFormatting sqref="C7">
    <cfRule type="cellIs" dxfId="400" priority="11" operator="greaterThan">
      <formula>$B$12</formula>
    </cfRule>
  </conditionalFormatting>
  <conditionalFormatting sqref="D7">
    <cfRule type="cellIs" dxfId="399" priority="10" operator="greaterThan">
      <formula>$B$12</formula>
    </cfRule>
  </conditionalFormatting>
  <conditionalFormatting sqref="B8">
    <cfRule type="cellIs" dxfId="398" priority="9" operator="greaterThan">
      <formula>$B$12</formula>
    </cfRule>
  </conditionalFormatting>
  <conditionalFormatting sqref="B9">
    <cfRule type="cellIs" dxfId="397" priority="8" operator="greaterThan">
      <formula>$B$12</formula>
    </cfRule>
  </conditionalFormatting>
  <conditionalFormatting sqref="B10">
    <cfRule type="cellIs" dxfId="396" priority="7" operator="greaterThan">
      <formula>$B$12</formula>
    </cfRule>
  </conditionalFormatting>
  <conditionalFormatting sqref="C8">
    <cfRule type="cellIs" dxfId="395" priority="6" operator="greaterThan">
      <formula>$B$12</formula>
    </cfRule>
  </conditionalFormatting>
  <conditionalFormatting sqref="D8">
    <cfRule type="cellIs" dxfId="394" priority="5" operator="greaterThan">
      <formula>$B$12</formula>
    </cfRule>
  </conditionalFormatting>
  <conditionalFormatting sqref="C9">
    <cfRule type="cellIs" dxfId="393" priority="4" operator="greaterThan">
      <formula>$B$12</formula>
    </cfRule>
  </conditionalFormatting>
  <conditionalFormatting sqref="D9">
    <cfRule type="cellIs" dxfId="392" priority="3" operator="greaterThan">
      <formula>$B$12</formula>
    </cfRule>
  </conditionalFormatting>
  <conditionalFormatting sqref="C10">
    <cfRule type="cellIs" dxfId="391" priority="2" operator="greaterThan">
      <formula>$B$12</formula>
    </cfRule>
  </conditionalFormatting>
  <conditionalFormatting sqref="D10">
    <cfRule type="cellIs" dxfId="390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15.4414062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7" t="s">
        <v>71</v>
      </c>
      <c r="B3" s="403">
        <v>1.6</v>
      </c>
      <c r="C3" s="403"/>
      <c r="D3" s="404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3</v>
      </c>
      <c r="D5" s="104">
        <v>6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184.75208614068026</v>
      </c>
      <c r="C6" s="106">
        <f>(((SQRT(C5)*$B$3)/SQRT(3))*$C$15)/$A6</f>
        <v>320</v>
      </c>
      <c r="D6" s="106">
        <f>(((SQRT(D5)*$B$3)/SQRT(3))*$C$15)/$A6</f>
        <v>452.54833995939043</v>
      </c>
      <c r="F6" s="107" t="str">
        <f>_1801b</f>
        <v>Lechler</v>
      </c>
      <c r="G6" s="107" t="str">
        <f>_1801c</f>
        <v>IDK 120 04 C</v>
      </c>
      <c r="H6" s="108">
        <f>_1801h</f>
        <v>1.5</v>
      </c>
      <c r="I6" s="109" t="str">
        <f>IF(H6="","","bis")</f>
        <v>bis</v>
      </c>
      <c r="J6" s="112">
        <f>_1801i</f>
        <v>3</v>
      </c>
      <c r="K6" s="111">
        <f>(((SQRT($H6)*$B$3)/SQRT(3))*60000)/($B$12*$B$15)</f>
        <v>5.4305800795126844</v>
      </c>
      <c r="L6" s="109" t="str">
        <f>IF(K6="","","bis")</f>
        <v>bis</v>
      </c>
      <c r="M6" s="112">
        <f>(((SQRT($J6)*$B$3)/SQRT(3))*60000)/($B$12*$B$15)</f>
        <v>7.68</v>
      </c>
      <c r="N6" s="110">
        <f>_1801j</f>
        <v>1.5</v>
      </c>
      <c r="O6" s="109" t="str">
        <f>IF(N6="","","bis")</f>
        <v>bis</v>
      </c>
      <c r="P6" s="112">
        <f>_1801k</f>
        <v>2</v>
      </c>
      <c r="Q6" s="111">
        <f>(((SQRT($N6)*$B$3)/SQRT(3))*60000)/($B$12*$B$15)</f>
        <v>5.4305800795126844</v>
      </c>
      <c r="R6" s="109" t="str">
        <f>IF(Q6="","","bis")</f>
        <v>bis</v>
      </c>
      <c r="S6" s="112">
        <f>(((SQRT($P6)*$B$3)/SQRT(3))*60000)/($B$12*$B$15)</f>
        <v>6.270693741524938</v>
      </c>
      <c r="T6" s="111">
        <f>_1801l</f>
        <v>1.5</v>
      </c>
      <c r="U6" s="109" t="str">
        <f>IF(T6="","","bis")</f>
        <v>bis</v>
      </c>
      <c r="V6" s="110">
        <f>_1801m</f>
        <v>1.5</v>
      </c>
      <c r="W6" s="111">
        <f>(((SQRT($T6)*$B$3)/SQRT(3))*60000)/($B$12*$B$15)</f>
        <v>5.4305800795126844</v>
      </c>
      <c r="X6" s="109" t="str">
        <f>IF(W6="","","bis")</f>
        <v>bis</v>
      </c>
      <c r="Y6" s="110">
        <f>(((SQRT($V6)*$B$3)/SQRT(3))*60000)/($B$12*$B$15)</f>
        <v>5.4305800795126844</v>
      </c>
      <c r="Z6" s="113">
        <f>_1801f</f>
        <v>1.5</v>
      </c>
      <c r="AA6" s="109" t="str">
        <f>IF(Z6="","","bis")</f>
        <v>bis</v>
      </c>
      <c r="AB6" s="114">
        <f>_1801g</f>
        <v>6</v>
      </c>
    </row>
    <row r="7" spans="1:28" ht="18.75" thickBot="1" x14ac:dyDescent="0.3">
      <c r="A7" s="135">
        <v>7</v>
      </c>
      <c r="B7" s="106">
        <f>(((SQRT(B5)*$B$3)/SQRT(3))*$C$15)/$A7</f>
        <v>158.35893097772595</v>
      </c>
      <c r="C7" s="106">
        <f>(((SQRT(C5)*$B$3)/SQRT(3))*$C$15)/$A7</f>
        <v>274.28571428571428</v>
      </c>
      <c r="D7" s="106">
        <f>(((SQRT(D5)*$B$3)/SQRT(3))*$C$15)/$A7</f>
        <v>387.89857710804893</v>
      </c>
      <c r="F7" s="107" t="str">
        <f>_1718b</f>
        <v>Lechler</v>
      </c>
      <c r="G7" s="107" t="str">
        <f>_1718c</f>
        <v>IDKN 120 04</v>
      </c>
      <c r="H7" s="108">
        <f>_1718h</f>
        <v>1</v>
      </c>
      <c r="I7" s="109" t="str">
        <f>IF(H7="","","bis")</f>
        <v>bis</v>
      </c>
      <c r="J7" s="112">
        <f>_1718i</f>
        <v>3</v>
      </c>
      <c r="K7" s="111">
        <f>(((SQRT($H7)*$B$3)/SQRT(3))*60000)/($B$12*$B$15)</f>
        <v>4.4340500673763259</v>
      </c>
      <c r="L7" s="109" t="str">
        <f>IF(K7="","","bis")</f>
        <v>bis</v>
      </c>
      <c r="M7" s="112">
        <f>(((SQRT($J7)*$B$3)/SQRT(3))*60000)/($B$12*$B$15)</f>
        <v>7.68</v>
      </c>
      <c r="N7" s="111">
        <f>_1718j</f>
        <v>1</v>
      </c>
      <c r="O7" s="109" t="str">
        <f>IF(N7="","","bis")</f>
        <v>bis</v>
      </c>
      <c r="P7" s="112">
        <f>_1718k</f>
        <v>1.5</v>
      </c>
      <c r="Q7" s="111">
        <f>(((SQRT($N7)*$B$3)/SQRT(3))*60000)/($B$12*$B$15)</f>
        <v>4.4340500673763259</v>
      </c>
      <c r="R7" s="109" t="str">
        <f>IF(Q7="","","bis")</f>
        <v>bis</v>
      </c>
      <c r="S7" s="112">
        <f>(((SQRT($P7)*$B$3)/SQRT(3))*60000)/($B$12*$B$15)</f>
        <v>5.4305800795126844</v>
      </c>
      <c r="T7" s="111">
        <f>_1718l</f>
        <v>1</v>
      </c>
      <c r="U7" s="109" t="str">
        <f>IF(T7="","","bis")</f>
        <v>bis</v>
      </c>
      <c r="V7" s="112">
        <f>_1718m</f>
        <v>1</v>
      </c>
      <c r="W7" s="111">
        <f>(((SQRT($T7)*$B$3)/SQRT(3))*60000)/($B$12*$B$15)</f>
        <v>4.4340500673763259</v>
      </c>
      <c r="X7" s="109" t="str">
        <f>IF(W7="","","bis")</f>
        <v>bis</v>
      </c>
      <c r="Y7" s="112">
        <f>(((SQRT($V7)*$B$3)/SQRT(3))*60000)/($B$12*$B$15)</f>
        <v>4.4340500673763259</v>
      </c>
      <c r="Z7" s="113">
        <f>_1718f</f>
        <v>1</v>
      </c>
      <c r="AA7" s="109" t="str">
        <f>IF(Z7="","","bis")</f>
        <v>bis</v>
      </c>
      <c r="AB7" s="114">
        <f>_1718g</f>
        <v>6</v>
      </c>
    </row>
    <row r="8" spans="1:28" ht="18.75" thickBot="1" x14ac:dyDescent="0.3">
      <c r="A8" s="135">
        <v>8</v>
      </c>
      <c r="B8" s="106">
        <f>(((SQRT(B5)*$B$3)/SQRT(3))*$C$15)/$A8</f>
        <v>138.5640646055102</v>
      </c>
      <c r="C8" s="106">
        <f>(((SQRT(C5)*$B$3)/SQRT(3))*1200)/$A8</f>
        <v>240</v>
      </c>
      <c r="D8" s="106">
        <f>(((SQRT(D5)*$B$3)/SQRT(3))*1200)/$A8</f>
        <v>339.41125496954282</v>
      </c>
      <c r="F8" s="107" t="str">
        <f>_1783b</f>
        <v>Hardi</v>
      </c>
      <c r="G8" s="107" t="str">
        <f>_1783c</f>
        <v>MiniDrift MD 04</v>
      </c>
      <c r="H8" s="108">
        <f>_1783h</f>
        <v>1</v>
      </c>
      <c r="I8" s="109" t="str">
        <f>IF(H8="","","bis")</f>
        <v>bis</v>
      </c>
      <c r="J8" s="112">
        <f>_1783i</f>
        <v>3</v>
      </c>
      <c r="K8" s="111">
        <f>(((SQRT($H8)*$B$3)/SQRT(3))*60000)/($B$12*$B$15)</f>
        <v>4.4340500673763259</v>
      </c>
      <c r="L8" s="109" t="str">
        <f>IF(K8="","","bis")</f>
        <v>bis</v>
      </c>
      <c r="M8" s="112">
        <f>(((SQRT($J8)*$B$3)/SQRT(3))*60000)/($B$12*$B$15)</f>
        <v>7.68</v>
      </c>
      <c r="N8" s="111">
        <f>_1783j</f>
        <v>1</v>
      </c>
      <c r="O8" s="109" t="str">
        <f>IF(N8="","","bis")</f>
        <v>bis</v>
      </c>
      <c r="P8" s="112">
        <f>_1783k</f>
        <v>1</v>
      </c>
      <c r="Q8" s="111">
        <f>(((SQRT($N8)*$B$3)/SQRT(3))*60000)/($B$12*$B$15)</f>
        <v>4.4340500673763259</v>
      </c>
      <c r="R8" s="109" t="str">
        <f>IF(Q8="","","bis")</f>
        <v>bis</v>
      </c>
      <c r="S8" s="112">
        <f>(((SQRT($P8)*$B$3)/SQRT(3))*60000)/($B$12*$B$15)</f>
        <v>4.4340500673763259</v>
      </c>
      <c r="T8" s="111">
        <f>_1783l</f>
        <v>1</v>
      </c>
      <c r="U8" s="109" t="str">
        <f>IF(T8="","","bis")</f>
        <v>bis</v>
      </c>
      <c r="V8" s="112">
        <f>_1783m</f>
        <v>1</v>
      </c>
      <c r="W8" s="111">
        <f>(((SQRT($T8)*$B$3)/SQRT(3))*60000)/($B$12*$B$15)</f>
        <v>4.4340500673763259</v>
      </c>
      <c r="X8" s="109" t="str">
        <f>IF(W8="","","bis")</f>
        <v>bis</v>
      </c>
      <c r="Y8" s="112">
        <f>(((SQRT($V8)*$B$3)/SQRT(3))*60000)/($B$12*$B$15)</f>
        <v>4.4340500673763259</v>
      </c>
      <c r="Z8" s="113">
        <f>_1783f</f>
        <v>1</v>
      </c>
      <c r="AA8" s="109" t="str">
        <f>IF(Z8="","","bis")</f>
        <v>bis</v>
      </c>
      <c r="AB8" s="114">
        <f>_1783g</f>
        <v>6</v>
      </c>
    </row>
    <row r="9" spans="1:28" ht="18.75" thickBot="1" x14ac:dyDescent="0.3">
      <c r="A9" s="135">
        <v>9</v>
      </c>
      <c r="B9" s="106">
        <f>(((SQRT(B5)*$B$3)/SQRT(3))*$C$15)/$A9</f>
        <v>123.16805742712017</v>
      </c>
      <c r="C9" s="106">
        <f>(((SQRT(C5)*$B$3)/SQRT(3))*$C$15)/$A9</f>
        <v>213.33333333333334</v>
      </c>
      <c r="D9" s="106">
        <f>(((SQRT(D5)*$B$3)/SQRT(3))*$C$15)/$A9</f>
        <v>301.69889330626029</v>
      </c>
      <c r="F9" s="107" t="str">
        <f>_2209b</f>
        <v>Lechler</v>
      </c>
      <c r="G9" s="107" t="str">
        <f>_2209c</f>
        <v>PSLDACQ2004</v>
      </c>
      <c r="H9" s="108">
        <f>_2209h</f>
        <v>1.5</v>
      </c>
      <c r="I9" s="109" t="str">
        <f>IF(H9="","","bis")</f>
        <v>bis</v>
      </c>
      <c r="J9" s="112">
        <f>_2209i</f>
        <v>3</v>
      </c>
      <c r="K9" s="111">
        <f>(((SQRT($H9)*$B$3)/SQRT(3))*60000)/($B$12*$B$15)</f>
        <v>5.4305800795126844</v>
      </c>
      <c r="L9" s="109" t="str">
        <f>IF(K9="","","bis")</f>
        <v>bis</v>
      </c>
      <c r="M9" s="112">
        <f>(((SQRT($J9)*$B$3)/SQRT(3))*60000)/($B$12*$B$15)</f>
        <v>7.68</v>
      </c>
      <c r="N9" s="111">
        <f>_2209j</f>
        <v>1.5</v>
      </c>
      <c r="O9" s="109" t="str">
        <f>IF(N9="","","bis")</f>
        <v>bis</v>
      </c>
      <c r="P9" s="112">
        <f>_2209k</f>
        <v>2</v>
      </c>
      <c r="Q9" s="111">
        <f>(((SQRT($N9)*$B$3)/SQRT(3))*60000)/($B$12*$B$15)</f>
        <v>5.4305800795126844</v>
      </c>
      <c r="R9" s="109" t="str">
        <f>IF(Q9="","","bis")</f>
        <v>bis</v>
      </c>
      <c r="S9" s="112">
        <f>(((SQRT($P9)*$B$3)/SQRT(3))*60000)/($B$12*$B$15)</f>
        <v>6.270693741524938</v>
      </c>
      <c r="T9" s="111">
        <f>_2209l</f>
        <v>1.5</v>
      </c>
      <c r="U9" s="109" t="str">
        <f>IF(T9="","","bis")</f>
        <v>bis</v>
      </c>
      <c r="V9" s="110">
        <f>_2209m</f>
        <v>1.5</v>
      </c>
      <c r="W9" s="111">
        <f>(((SQRT($T9)*$B$3)/SQRT(3))*60000)/($B$12*$B$15)</f>
        <v>5.4305800795126844</v>
      </c>
      <c r="X9" s="109" t="str">
        <f>IF(W9="","","bis")</f>
        <v>bis</v>
      </c>
      <c r="Y9" s="112">
        <f>(((SQRT($V9)*$B$3)/SQRT(3))*60000)/($B$12*$B$15)</f>
        <v>5.4305800795126844</v>
      </c>
      <c r="Z9" s="113">
        <f>_2209f</f>
        <v>1.5</v>
      </c>
      <c r="AA9" s="109" t="str">
        <f>IF(Z9="","","bis")</f>
        <v>bis</v>
      </c>
      <c r="AB9" s="114">
        <f>_2209g</f>
        <v>6</v>
      </c>
    </row>
    <row r="10" spans="1:28" ht="18.75" thickBot="1" x14ac:dyDescent="0.3">
      <c r="A10" s="136">
        <v>10</v>
      </c>
      <c r="B10" s="115">
        <f>(((SQRT(B5)*$B$3)/SQRT(3))*$C$15)/$A10</f>
        <v>110.85125168440815</v>
      </c>
      <c r="C10" s="115">
        <f>(((SQRT(C5)*$B$3)/SQRT(3))*$C$15)/$A10</f>
        <v>192</v>
      </c>
      <c r="D10" s="115">
        <f>(((SQRT(D5)*$B$3)/SQRT(3))*$C$15)/$A10</f>
        <v>271.52900397563428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250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3.2552083333333321</v>
      </c>
      <c r="C13" s="124">
        <f>(B12*B14*B15)/60000</f>
        <v>1.6666666666666667</v>
      </c>
      <c r="D13" s="120">
        <f>POWER(((SQRT(3)*$E$13)/$B$3),2)</f>
        <v>9.9690755208333286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8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wInroDDfzvXkKg0l21K3m8JJk5SlxVqKg24Cy4g7v+Rdip/MWRt+Fzb+VKKPnBQKm0GG5vBhuT8Prw+u2Kta0A==" saltValue="JKIUgG/86gHKNUhfcBE91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389" priority="8" operator="greaterThan">
      <formula>$B$12</formula>
    </cfRule>
  </conditionalFormatting>
  <conditionalFormatting sqref="C6">
    <cfRule type="cellIs" dxfId="388" priority="14" operator="greaterThan">
      <formula>$B$12</formula>
    </cfRule>
  </conditionalFormatting>
  <conditionalFormatting sqref="B6">
    <cfRule type="cellIs" dxfId="387" priority="15" operator="greaterThan">
      <formula>$B$12</formula>
    </cfRule>
  </conditionalFormatting>
  <conditionalFormatting sqref="B7">
    <cfRule type="cellIs" dxfId="386" priority="12" operator="greaterThan">
      <formula>$B$12</formula>
    </cfRule>
  </conditionalFormatting>
  <conditionalFormatting sqref="D10">
    <cfRule type="cellIs" dxfId="385" priority="1" operator="greaterThan">
      <formula>$B$12</formula>
    </cfRule>
  </conditionalFormatting>
  <conditionalFormatting sqref="D6">
    <cfRule type="cellIs" dxfId="384" priority="13" operator="greaterThan">
      <formula>$B$12</formula>
    </cfRule>
  </conditionalFormatting>
  <conditionalFormatting sqref="C7">
    <cfRule type="cellIs" dxfId="383" priority="11" operator="greaterThan">
      <formula>$B$12</formula>
    </cfRule>
  </conditionalFormatting>
  <conditionalFormatting sqref="D7">
    <cfRule type="cellIs" dxfId="382" priority="10" operator="greaterThan">
      <formula>$B$12</formula>
    </cfRule>
  </conditionalFormatting>
  <conditionalFormatting sqref="B8">
    <cfRule type="cellIs" dxfId="381" priority="9" operator="greaterThan">
      <formula>$B$12</formula>
    </cfRule>
  </conditionalFormatting>
  <conditionalFormatting sqref="B10">
    <cfRule type="cellIs" dxfId="380" priority="7" operator="greaterThan">
      <formula>$B$12</formula>
    </cfRule>
  </conditionalFormatting>
  <conditionalFormatting sqref="C8">
    <cfRule type="cellIs" dxfId="379" priority="6" operator="greaterThan">
      <formula>$B$12</formula>
    </cfRule>
  </conditionalFormatting>
  <conditionalFormatting sqref="D8">
    <cfRule type="cellIs" dxfId="378" priority="5" operator="greaterThan">
      <formula>$B$12</formula>
    </cfRule>
  </conditionalFormatting>
  <conditionalFormatting sqref="C9">
    <cfRule type="cellIs" dxfId="377" priority="4" operator="greaterThan">
      <formula>$B$12</formula>
    </cfRule>
  </conditionalFormatting>
  <conditionalFormatting sqref="D9">
    <cfRule type="cellIs" dxfId="376" priority="3" operator="greaterThan">
      <formula>$B$12</formula>
    </cfRule>
  </conditionalFormatting>
  <conditionalFormatting sqref="C10">
    <cfRule type="cellIs" dxfId="375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16.33203125" style="63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7" t="s">
        <v>71</v>
      </c>
      <c r="B3" s="403">
        <v>1.6</v>
      </c>
      <c r="C3" s="403"/>
      <c r="D3" s="404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2</v>
      </c>
      <c r="C5" s="104">
        <v>5</v>
      </c>
      <c r="D5" s="104">
        <v>8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261.2789058968724</v>
      </c>
      <c r="C6" s="106">
        <f>(((SQRT(C5)*$B$3)/SQRT(3))*$C$15)/$A6</f>
        <v>413.11822359545789</v>
      </c>
      <c r="D6" s="106">
        <f>(((SQRT(D5)*$B$3)/SQRT(3))*$C$15)/$A6</f>
        <v>522.5578117937448</v>
      </c>
      <c r="F6" s="107" t="str">
        <f>_2294b</f>
        <v>Agrotop</v>
      </c>
      <c r="G6" s="107" t="str">
        <f>_2294c</f>
        <v>AVI-UC 110 04</v>
      </c>
      <c r="H6" s="108">
        <f>_2294h</f>
        <v>3</v>
      </c>
      <c r="I6" s="109" t="str">
        <f t="shared" ref="I6:I13" si="0">IF(H6="","","bis")</f>
        <v>bis</v>
      </c>
      <c r="J6" s="110">
        <f>_2294i</f>
        <v>5</v>
      </c>
      <c r="K6" s="111">
        <f t="shared" ref="K6:K13" si="1">(((SQRT($H6)*$B$3)/SQRT(3))*60000)/($B$12*$B$15)</f>
        <v>9.6</v>
      </c>
      <c r="L6" s="109" t="str">
        <f t="shared" ref="L6:L13" si="2">IF(K6="","","bis")</f>
        <v>bis</v>
      </c>
      <c r="M6" s="112">
        <f t="shared" ref="M6:M13" si="3">(((SQRT($J6)*$B$3)/SQRT(3))*60000)/($B$12*$B$15)</f>
        <v>12.393546707863736</v>
      </c>
      <c r="N6" s="110">
        <f>_2294j</f>
        <v>3</v>
      </c>
      <c r="O6" s="109" t="str">
        <f t="shared" ref="O6:O13" si="4">IF(N6="","","bis")</f>
        <v>bis</v>
      </c>
      <c r="P6" s="112">
        <f>_2294k</f>
        <v>5</v>
      </c>
      <c r="Q6" s="111">
        <f t="shared" ref="Q6:Q13" si="5">(((SQRT($N6)*$B$3)/SQRT(3))*60000)/($B$12*$B$15)</f>
        <v>9.6</v>
      </c>
      <c r="R6" s="109" t="str">
        <f t="shared" ref="R6:R13" si="6">IF(Q6="","","bis")</f>
        <v>bis</v>
      </c>
      <c r="S6" s="112">
        <f t="shared" ref="S6:S13" si="7">(((SQRT($P6)*$B$3)/SQRT(3))*60000)/($B$12*$B$15)</f>
        <v>12.393546707863736</v>
      </c>
      <c r="T6" s="111">
        <f>_2294l</f>
        <v>3</v>
      </c>
      <c r="U6" s="109" t="str">
        <f t="shared" ref="U6:U13" si="8">IF(T6="","","bis")</f>
        <v>bis</v>
      </c>
      <c r="V6" s="110">
        <f>_2294m</f>
        <v>3</v>
      </c>
      <c r="W6" s="111">
        <f t="shared" ref="W6:W13" si="9">(((SQRT($T6)*$B$3)/SQRT(3))*60000)/($B$12*$B$15)</f>
        <v>9.6</v>
      </c>
      <c r="X6" s="109" t="str">
        <f t="shared" ref="X6:X13" si="10">IF(W6="","","bis")</f>
        <v>bis</v>
      </c>
      <c r="Y6" s="110">
        <f t="shared" ref="Y6:Y13" si="11">(((SQRT($V6)*$B$3)/SQRT(3))*60000)/($B$12*$B$15)</f>
        <v>9.6</v>
      </c>
      <c r="Z6" s="113">
        <f>_2294f</f>
        <v>3</v>
      </c>
      <c r="AA6" s="109" t="str">
        <f t="shared" ref="AA6:AA13" si="12">IF(Z6="","","bis")</f>
        <v>bis</v>
      </c>
      <c r="AB6" s="114">
        <f>_2294g</f>
        <v>7</v>
      </c>
    </row>
    <row r="7" spans="1:28" ht="18.75" thickBot="1" x14ac:dyDescent="0.3">
      <c r="A7" s="135">
        <v>7</v>
      </c>
      <c r="B7" s="106">
        <f>(((SQRT(B5)*$B$3)/SQRT(3))*$C$15)/$A7</f>
        <v>223.95334791160491</v>
      </c>
      <c r="C7" s="106">
        <f>(((SQRT(C5)*$B$3)/SQRT(3))*$C$15)/$A7</f>
        <v>354.10133451039246</v>
      </c>
      <c r="D7" s="106">
        <f>(((SQRT(D5)*$B$3)/SQRT(3))*$C$15)/$A7</f>
        <v>447.90669582320982</v>
      </c>
      <c r="F7" s="107" t="str">
        <f>_1972b</f>
        <v>Lechler</v>
      </c>
      <c r="G7" s="107" t="str">
        <f>_1972c</f>
        <v>ID (3) 120 04</v>
      </c>
      <c r="H7" s="108">
        <f>_1972h</f>
        <v>2</v>
      </c>
      <c r="I7" s="109" t="str">
        <f t="shared" si="0"/>
        <v>bis</v>
      </c>
      <c r="J7" s="112">
        <f>_1972i</f>
        <v>8</v>
      </c>
      <c r="K7" s="111">
        <f t="shared" si="1"/>
        <v>7.8383671769061722</v>
      </c>
      <c r="L7" s="109" t="str">
        <f t="shared" si="2"/>
        <v>bis</v>
      </c>
      <c r="M7" s="112">
        <f t="shared" si="3"/>
        <v>15.676734353812344</v>
      </c>
      <c r="N7" s="111">
        <f>_1972j</f>
        <v>2</v>
      </c>
      <c r="O7" s="109" t="str">
        <f t="shared" si="4"/>
        <v>bis</v>
      </c>
      <c r="P7" s="112">
        <f>_1972k</f>
        <v>6</v>
      </c>
      <c r="Q7" s="111">
        <f t="shared" si="5"/>
        <v>7.8383671769061722</v>
      </c>
      <c r="R7" s="109" t="str">
        <f t="shared" si="6"/>
        <v>bis</v>
      </c>
      <c r="S7" s="112">
        <f t="shared" si="7"/>
        <v>13.576450198781712</v>
      </c>
      <c r="T7" s="111">
        <f>_1972l</f>
        <v>2</v>
      </c>
      <c r="U7" s="109" t="str">
        <f t="shared" si="8"/>
        <v>bis</v>
      </c>
      <c r="V7" s="112">
        <f>_1972m</f>
        <v>3</v>
      </c>
      <c r="W7" s="111">
        <f t="shared" si="9"/>
        <v>7.8383671769061722</v>
      </c>
      <c r="X7" s="109" t="str">
        <f t="shared" si="10"/>
        <v>bis</v>
      </c>
      <c r="Y7" s="112">
        <f t="shared" si="11"/>
        <v>9.6</v>
      </c>
      <c r="Z7" s="113">
        <f>_1972f</f>
        <v>2</v>
      </c>
      <c r="AA7" s="109" t="str">
        <f t="shared" si="12"/>
        <v>bis</v>
      </c>
      <c r="AB7" s="114">
        <f>_1972g</f>
        <v>8</v>
      </c>
    </row>
    <row r="8" spans="1:28" ht="18.75" thickBot="1" x14ac:dyDescent="0.3">
      <c r="A8" s="135">
        <v>8</v>
      </c>
      <c r="B8" s="106">
        <f>(((SQRT(B5)*$B$3)/SQRT(3))*$C$15)/$A8</f>
        <v>195.9591794226543</v>
      </c>
      <c r="C8" s="106">
        <f>(((SQRT(C5)*$B$3)/SQRT(3))*1200)/$A8</f>
        <v>309.8386676965934</v>
      </c>
      <c r="D8" s="106">
        <f>(((SQRT(D5)*$B$3)/SQRT(3))*1200)/$A8</f>
        <v>391.9183588453086</v>
      </c>
      <c r="F8" s="107" t="str">
        <f>_2206b</f>
        <v>Lechler</v>
      </c>
      <c r="G8" s="107" t="str">
        <f>_2206c</f>
        <v>PSULDCQ2004</v>
      </c>
      <c r="H8" s="108">
        <f>_2206h</f>
        <v>2</v>
      </c>
      <c r="I8" s="109" t="str">
        <f t="shared" si="0"/>
        <v>bis</v>
      </c>
      <c r="J8" s="112">
        <f>_2206i</f>
        <v>8</v>
      </c>
      <c r="K8" s="111">
        <f t="shared" si="1"/>
        <v>7.8383671769061722</v>
      </c>
      <c r="L8" s="109" t="str">
        <f t="shared" si="2"/>
        <v>bis</v>
      </c>
      <c r="M8" s="112">
        <f t="shared" si="3"/>
        <v>15.676734353812344</v>
      </c>
      <c r="N8" s="111">
        <f>_2206j</f>
        <v>2</v>
      </c>
      <c r="O8" s="109" t="str">
        <f t="shared" si="4"/>
        <v>bis</v>
      </c>
      <c r="P8" s="112">
        <f>_2206k</f>
        <v>6</v>
      </c>
      <c r="Q8" s="111">
        <f t="shared" si="5"/>
        <v>7.8383671769061722</v>
      </c>
      <c r="R8" s="109" t="str">
        <f t="shared" si="6"/>
        <v>bis</v>
      </c>
      <c r="S8" s="112">
        <f t="shared" si="7"/>
        <v>13.576450198781712</v>
      </c>
      <c r="T8" s="111">
        <f>_2206l</f>
        <v>2</v>
      </c>
      <c r="U8" s="109" t="str">
        <f t="shared" si="8"/>
        <v>bis</v>
      </c>
      <c r="V8" s="112">
        <f>_2206m</f>
        <v>2.5</v>
      </c>
      <c r="W8" s="111">
        <f t="shared" si="9"/>
        <v>7.8383671769061722</v>
      </c>
      <c r="X8" s="109" t="str">
        <f t="shared" si="10"/>
        <v>bis</v>
      </c>
      <c r="Y8" s="112">
        <f t="shared" si="11"/>
        <v>8.7635609200826607</v>
      </c>
      <c r="Z8" s="113">
        <f>_2206f</f>
        <v>2</v>
      </c>
      <c r="AA8" s="109" t="str">
        <f t="shared" si="12"/>
        <v>bis</v>
      </c>
      <c r="AB8" s="114">
        <f>_2206g</f>
        <v>8</v>
      </c>
    </row>
    <row r="9" spans="1:28" ht="18.75" thickBot="1" x14ac:dyDescent="0.3">
      <c r="A9" s="135">
        <v>9</v>
      </c>
      <c r="B9" s="106">
        <f>(((SQRT(B5)*$B$3)/SQRT(3))*$C$15)/$A9</f>
        <v>174.18593726458161</v>
      </c>
      <c r="C9" s="106">
        <f>(((SQRT(C5)*$B$3)/SQRT(3))*$C$15)/$A9</f>
        <v>275.41214906363859</v>
      </c>
      <c r="D9" s="106">
        <f>(((SQRT(D5)*$B$3)/SQRT(3))*$C$15)/$A9</f>
        <v>348.37187452916322</v>
      </c>
      <c r="F9" s="107" t="str">
        <f>_1779b</f>
        <v>Hypro</v>
      </c>
      <c r="G9" s="107" t="str">
        <f>_1779c</f>
        <v>PSULDQ2004A</v>
      </c>
      <c r="H9" s="108">
        <f>_1779h</f>
        <v>2.5</v>
      </c>
      <c r="I9" s="109" t="str">
        <f t="shared" si="0"/>
        <v>bis</v>
      </c>
      <c r="J9" s="112">
        <f>_1779i</f>
        <v>8</v>
      </c>
      <c r="K9" s="111">
        <f t="shared" si="1"/>
        <v>8.7635609200826607</v>
      </c>
      <c r="L9" s="109" t="str">
        <f t="shared" si="2"/>
        <v>bis</v>
      </c>
      <c r="M9" s="112">
        <f t="shared" si="3"/>
        <v>15.676734353812344</v>
      </c>
      <c r="N9" s="111">
        <f>_1779j</f>
        <v>2.5</v>
      </c>
      <c r="O9" s="109" t="str">
        <f t="shared" si="4"/>
        <v>bis</v>
      </c>
      <c r="P9" s="112">
        <f>_1779k</f>
        <v>8</v>
      </c>
      <c r="Q9" s="111">
        <f t="shared" si="5"/>
        <v>8.7635609200826607</v>
      </c>
      <c r="R9" s="109" t="str">
        <f t="shared" si="6"/>
        <v>bis</v>
      </c>
      <c r="S9" s="112">
        <f t="shared" si="7"/>
        <v>15.676734353812344</v>
      </c>
      <c r="T9" s="111">
        <f>_1779l</f>
        <v>2.5</v>
      </c>
      <c r="U9" s="109" t="str">
        <f t="shared" si="8"/>
        <v>bis</v>
      </c>
      <c r="V9" s="110">
        <f>_1779m</f>
        <v>2.5</v>
      </c>
      <c r="W9" s="111">
        <f t="shared" si="9"/>
        <v>8.7635609200826607</v>
      </c>
      <c r="X9" s="109" t="str">
        <f t="shared" si="10"/>
        <v>bis</v>
      </c>
      <c r="Y9" s="112">
        <f t="shared" si="11"/>
        <v>8.7635609200826607</v>
      </c>
      <c r="Z9" s="113">
        <f>_1779f</f>
        <v>2.5</v>
      </c>
      <c r="AA9" s="109" t="str">
        <f t="shared" si="12"/>
        <v>bis</v>
      </c>
      <c r="AB9" s="114">
        <f>_1779g</f>
        <v>8</v>
      </c>
    </row>
    <row r="10" spans="1:28" ht="18.75" thickBot="1" x14ac:dyDescent="0.3">
      <c r="A10" s="136">
        <v>10</v>
      </c>
      <c r="B10" s="115">
        <f>(((SQRT(B5)*$B$3)/SQRT(3))*$C$15)/$A10</f>
        <v>156.76734353812344</v>
      </c>
      <c r="C10" s="115">
        <f>(((SQRT(C5)*$B$3)/SQRT(3))*$C$15)/$A10</f>
        <v>247.87093415727472</v>
      </c>
      <c r="D10" s="115">
        <f>(((SQRT(D5)*$B$3)/SQRT(3))*$C$15)/$A10</f>
        <v>313.53468707624688</v>
      </c>
      <c r="F10" s="107" t="str">
        <f>_1739b</f>
        <v>TeeJet</v>
      </c>
      <c r="G10" s="107" t="str">
        <f>_1739c</f>
        <v>TTI 110 04</v>
      </c>
      <c r="H10" s="108">
        <f>_1739h</f>
        <v>1.5</v>
      </c>
      <c r="I10" s="109" t="str">
        <f t="shared" si="0"/>
        <v>bis</v>
      </c>
      <c r="J10" s="112">
        <f>_1739i</f>
        <v>5</v>
      </c>
      <c r="K10" s="111">
        <f t="shared" si="1"/>
        <v>6.7882250993908562</v>
      </c>
      <c r="L10" s="109" t="str">
        <f t="shared" si="2"/>
        <v>bis</v>
      </c>
      <c r="M10" s="112">
        <f t="shared" si="3"/>
        <v>12.393546707863736</v>
      </c>
      <c r="N10" s="111">
        <f>_1739j</f>
        <v>1.5</v>
      </c>
      <c r="O10" s="109" t="str">
        <f t="shared" si="4"/>
        <v>bis</v>
      </c>
      <c r="P10" s="112">
        <f>_1739k</f>
        <v>3</v>
      </c>
      <c r="Q10" s="111">
        <f t="shared" si="5"/>
        <v>6.7882250993908562</v>
      </c>
      <c r="R10" s="109" t="str">
        <f t="shared" si="6"/>
        <v>bis</v>
      </c>
      <c r="S10" s="112">
        <f t="shared" si="7"/>
        <v>9.6</v>
      </c>
      <c r="T10" s="111">
        <f>_1739l</f>
        <v>1.5</v>
      </c>
      <c r="U10" s="109" t="str">
        <f t="shared" si="8"/>
        <v>bis</v>
      </c>
      <c r="V10" s="112">
        <f>_1739m</f>
        <v>2</v>
      </c>
      <c r="W10" s="111">
        <f t="shared" si="9"/>
        <v>6.7882250993908562</v>
      </c>
      <c r="X10" s="109" t="str">
        <f t="shared" si="10"/>
        <v>bis</v>
      </c>
      <c r="Y10" s="112">
        <f t="shared" si="11"/>
        <v>7.8383671769061722</v>
      </c>
      <c r="Z10" s="113">
        <f>_1739f</f>
        <v>1.5</v>
      </c>
      <c r="AA10" s="109" t="str">
        <f t="shared" si="12"/>
        <v>bis</v>
      </c>
      <c r="AB10" s="114">
        <f>_1739g</f>
        <v>7</v>
      </c>
    </row>
    <row r="11" spans="1:28" ht="18.75" thickBot="1" x14ac:dyDescent="0.3">
      <c r="F11" s="107" t="str">
        <f>_b1779b</f>
        <v>Hypro</v>
      </c>
      <c r="G11" s="107" t="str">
        <f>_b1779c</f>
        <v>ULD 04</v>
      </c>
      <c r="H11" s="108">
        <f>_b1779h</f>
        <v>2.5</v>
      </c>
      <c r="I11" s="109" t="str">
        <f t="shared" si="0"/>
        <v>bis</v>
      </c>
      <c r="J11" s="112">
        <f>_b1779i</f>
        <v>8</v>
      </c>
      <c r="K11" s="111">
        <f t="shared" si="1"/>
        <v>8.7635609200826607</v>
      </c>
      <c r="L11" s="109" t="str">
        <f t="shared" si="2"/>
        <v>bis</v>
      </c>
      <c r="M11" s="112">
        <f t="shared" si="3"/>
        <v>15.676734353812344</v>
      </c>
      <c r="N11" s="111">
        <f>_b1779j</f>
        <v>2.5</v>
      </c>
      <c r="O11" s="109" t="str">
        <f t="shared" si="4"/>
        <v>bis</v>
      </c>
      <c r="P11" s="112">
        <f>_b1779k</f>
        <v>8</v>
      </c>
      <c r="Q11" s="111">
        <f t="shared" si="5"/>
        <v>8.7635609200826607</v>
      </c>
      <c r="R11" s="109" t="str">
        <f t="shared" si="6"/>
        <v>bis</v>
      </c>
      <c r="S11" s="112">
        <f t="shared" si="7"/>
        <v>15.676734353812344</v>
      </c>
      <c r="T11" s="111">
        <f>_b1779l</f>
        <v>2.5</v>
      </c>
      <c r="U11" s="109" t="str">
        <f t="shared" si="8"/>
        <v>bis</v>
      </c>
      <c r="V11" s="112">
        <f>_b1779m</f>
        <v>2.5</v>
      </c>
      <c r="W11" s="111">
        <f t="shared" si="9"/>
        <v>8.7635609200826607</v>
      </c>
      <c r="X11" s="109" t="str">
        <f t="shared" si="10"/>
        <v>bis</v>
      </c>
      <c r="Y11" s="112">
        <f t="shared" si="11"/>
        <v>8.7635609200826607</v>
      </c>
      <c r="Z11" s="113">
        <f>_b1779f</f>
        <v>2.5</v>
      </c>
      <c r="AA11" s="109" t="str">
        <f t="shared" si="12"/>
        <v>bis</v>
      </c>
      <c r="AB11" s="114">
        <f>_b1779g</f>
        <v>8</v>
      </c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  <c r="F12" s="107"/>
      <c r="G12" s="107"/>
      <c r="H12" s="108"/>
      <c r="I12" s="109" t="str">
        <f t="shared" si="0"/>
        <v/>
      </c>
      <c r="J12" s="112"/>
      <c r="K12" s="111">
        <f t="shared" si="1"/>
        <v>0</v>
      </c>
      <c r="L12" s="109" t="str">
        <f t="shared" si="2"/>
        <v>bis</v>
      </c>
      <c r="M12" s="112">
        <f t="shared" si="3"/>
        <v>0</v>
      </c>
      <c r="N12" s="111"/>
      <c r="O12" s="109" t="str">
        <f t="shared" si="4"/>
        <v/>
      </c>
      <c r="P12" s="112"/>
      <c r="Q12" s="111">
        <f t="shared" si="5"/>
        <v>0</v>
      </c>
      <c r="R12" s="109" t="str">
        <f t="shared" si="6"/>
        <v>bis</v>
      </c>
      <c r="S12" s="112">
        <f t="shared" si="7"/>
        <v>0</v>
      </c>
      <c r="T12" s="111"/>
      <c r="U12" s="109" t="str">
        <f t="shared" si="8"/>
        <v/>
      </c>
      <c r="V12" s="112"/>
      <c r="W12" s="111">
        <f t="shared" si="9"/>
        <v>0</v>
      </c>
      <c r="X12" s="109" t="str">
        <f t="shared" si="10"/>
        <v>bis</v>
      </c>
      <c r="Y12" s="112">
        <f t="shared" si="11"/>
        <v>0</v>
      </c>
      <c r="Z12" s="113"/>
      <c r="AA12" s="109" t="str">
        <f t="shared" si="12"/>
        <v/>
      </c>
      <c r="AB12" s="114"/>
    </row>
    <row r="13" spans="1:28" ht="18.75" thickBot="1" x14ac:dyDescent="0.3">
      <c r="A13" s="117" t="s">
        <v>61</v>
      </c>
      <c r="B13" s="120">
        <f>POWER(((SQRT(3)*$C$13)/$B$3),2)</f>
        <v>0.81380208333333304</v>
      </c>
      <c r="C13" s="124">
        <f>(B12*B14*B15)/60000</f>
        <v>0.83333333333333337</v>
      </c>
      <c r="D13" s="120">
        <f>POWER(((SQRT(3)*$E$13)/$B$3),2)</f>
        <v>9.9690755208333286</v>
      </c>
      <c r="E13" s="124">
        <f>(D12*D14*D15)/60000</f>
        <v>2.9166666666666665</v>
      </c>
      <c r="F13" s="107"/>
      <c r="G13" s="107"/>
      <c r="H13" s="108"/>
      <c r="I13" s="109" t="str">
        <f t="shared" si="0"/>
        <v/>
      </c>
      <c r="J13" s="112"/>
      <c r="K13" s="111">
        <f t="shared" si="1"/>
        <v>0</v>
      </c>
      <c r="L13" s="109" t="str">
        <f t="shared" si="2"/>
        <v>bis</v>
      </c>
      <c r="M13" s="112">
        <f t="shared" si="3"/>
        <v>0</v>
      </c>
      <c r="N13" s="111"/>
      <c r="O13" s="109" t="str">
        <f t="shared" si="4"/>
        <v/>
      </c>
      <c r="P13" s="112"/>
      <c r="Q13" s="111">
        <f t="shared" si="5"/>
        <v>0</v>
      </c>
      <c r="R13" s="109" t="str">
        <f t="shared" si="6"/>
        <v>bis</v>
      </c>
      <c r="S13" s="112">
        <f t="shared" si="7"/>
        <v>0</v>
      </c>
      <c r="T13" s="111"/>
      <c r="U13" s="109" t="str">
        <f t="shared" si="8"/>
        <v/>
      </c>
      <c r="V13" s="112"/>
      <c r="W13" s="111">
        <f t="shared" si="9"/>
        <v>0</v>
      </c>
      <c r="X13" s="109" t="str">
        <f t="shared" si="10"/>
        <v>bis</v>
      </c>
      <c r="Y13" s="112">
        <f t="shared" si="11"/>
        <v>0</v>
      </c>
      <c r="Z13" s="113"/>
      <c r="AA13" s="109" t="str">
        <f t="shared" si="12"/>
        <v/>
      </c>
      <c r="AB13" s="114"/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0NqRFGJQtwgYJaDmSEVOpuRug/EA5I46SH28EeLFEKUDSiomrkvsyH1ag9LZY2HuPCdAUq0FExqH2UgbKHrBBw==" saltValue="hoRJkfyQ0zei3/lCj/ra0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374" priority="8" operator="greaterThan">
      <formula>$B$12</formula>
    </cfRule>
  </conditionalFormatting>
  <conditionalFormatting sqref="C6">
    <cfRule type="cellIs" dxfId="373" priority="14" operator="greaterThan">
      <formula>$B$12</formula>
    </cfRule>
  </conditionalFormatting>
  <conditionalFormatting sqref="B6">
    <cfRule type="cellIs" dxfId="372" priority="15" operator="greaterThan">
      <formula>$B$12</formula>
    </cfRule>
  </conditionalFormatting>
  <conditionalFormatting sqref="B7">
    <cfRule type="cellIs" dxfId="371" priority="12" operator="greaterThan">
      <formula>$B$12</formula>
    </cfRule>
  </conditionalFormatting>
  <conditionalFormatting sqref="D10">
    <cfRule type="cellIs" dxfId="370" priority="1" operator="greaterThan">
      <formula>$B$12</formula>
    </cfRule>
  </conditionalFormatting>
  <conditionalFormatting sqref="D6">
    <cfRule type="cellIs" dxfId="369" priority="13" operator="greaterThan">
      <formula>$B$12</formula>
    </cfRule>
  </conditionalFormatting>
  <conditionalFormatting sqref="C7">
    <cfRule type="cellIs" dxfId="368" priority="11" operator="greaterThan">
      <formula>$B$12</formula>
    </cfRule>
  </conditionalFormatting>
  <conditionalFormatting sqref="D7">
    <cfRule type="cellIs" dxfId="367" priority="10" operator="greaterThan">
      <formula>$B$12</formula>
    </cfRule>
  </conditionalFormatting>
  <conditionalFormatting sqref="B8">
    <cfRule type="cellIs" dxfId="366" priority="9" operator="greaterThan">
      <formula>$B$12</formula>
    </cfRule>
  </conditionalFormatting>
  <conditionalFormatting sqref="B10">
    <cfRule type="cellIs" dxfId="365" priority="7" operator="greaterThan">
      <formula>$B$12</formula>
    </cfRule>
  </conditionalFormatting>
  <conditionalFormatting sqref="C8">
    <cfRule type="cellIs" dxfId="364" priority="6" operator="greaterThan">
      <formula>$B$12</formula>
    </cfRule>
  </conditionalFormatting>
  <conditionalFormatting sqref="D8">
    <cfRule type="cellIs" dxfId="363" priority="5" operator="greaterThan">
      <formula>$B$12</formula>
    </cfRule>
  </conditionalFormatting>
  <conditionalFormatting sqref="C9">
    <cfRule type="cellIs" dxfId="362" priority="4" operator="greaterThan">
      <formula>$B$12</formula>
    </cfRule>
  </conditionalFormatting>
  <conditionalFormatting sqref="D9">
    <cfRule type="cellIs" dxfId="361" priority="3" operator="greaterThan">
      <formula>$B$12</formula>
    </cfRule>
  </conditionalFormatting>
  <conditionalFormatting sqref="C10">
    <cfRule type="cellIs" dxfId="360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20.4414062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7" t="s">
        <v>71</v>
      </c>
      <c r="B3" s="403">
        <v>1.6</v>
      </c>
      <c r="C3" s="403"/>
      <c r="D3" s="404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3</v>
      </c>
      <c r="D5" s="104">
        <v>6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184.75208614068026</v>
      </c>
      <c r="C6" s="106">
        <f>(((SQRT(C5)*$B$3)/SQRT(3))*$C$15)/$A6</f>
        <v>320</v>
      </c>
      <c r="D6" s="106">
        <f>(((SQRT(D5)*$B$3)/SQRT(3))*$C$15)/$A6</f>
        <v>452.54833995939043</v>
      </c>
      <c r="F6" s="107" t="str">
        <f>_1905b</f>
        <v>Agrotop</v>
      </c>
      <c r="G6" s="107" t="str">
        <f>_1905c</f>
        <v>CVI Twin 110 04</v>
      </c>
      <c r="H6" s="108">
        <f>_1905h</f>
        <v>1.5</v>
      </c>
      <c r="I6" s="109" t="str">
        <f>IF(H6="","","bis")</f>
        <v>bis</v>
      </c>
      <c r="J6" s="110">
        <f>_1905i</f>
        <v>6</v>
      </c>
      <c r="K6" s="111">
        <f>(((SQRT($H6)*$B$3)/SQRT(3))*60000)/($B$12*$B$15)</f>
        <v>6.7882250993908562</v>
      </c>
      <c r="L6" s="109" t="str">
        <f>IF(K6="","","bis")</f>
        <v>bis</v>
      </c>
      <c r="M6" s="112">
        <f>(((SQRT($J6)*$B$3)/SQRT(3))*60000)/($B$12*$B$15)</f>
        <v>13.576450198781712</v>
      </c>
      <c r="N6" s="110">
        <f>_1905j</f>
        <v>1.5</v>
      </c>
      <c r="O6" s="109" t="str">
        <f>IF(N6="","","bis")</f>
        <v>bis</v>
      </c>
      <c r="P6" s="112">
        <f>_1905k</f>
        <v>6</v>
      </c>
      <c r="Q6" s="111">
        <f>(((SQRT($N6)*$B$3)/SQRT(3))*60000)/($B$12*$B$15)</f>
        <v>6.7882250993908562</v>
      </c>
      <c r="R6" s="109" t="str">
        <f>IF(Q6="","","bis")</f>
        <v>bis</v>
      </c>
      <c r="S6" s="112">
        <f>(((SQRT($P6)*$B$3)/SQRT(3))*60000)/($B$12*$B$15)</f>
        <v>13.576450198781712</v>
      </c>
      <c r="T6" s="111">
        <f>_1905l</f>
        <v>1.5</v>
      </c>
      <c r="U6" s="109" t="str">
        <f>IF(T6="","","bis")</f>
        <v>bis</v>
      </c>
      <c r="V6" s="110">
        <f>_1905m</f>
        <v>1.5</v>
      </c>
      <c r="W6" s="111">
        <f>(((SQRT($T6)*$B$3)/SQRT(3))*60000)/($B$12*$B$15)</f>
        <v>6.7882250993908562</v>
      </c>
      <c r="X6" s="109" t="str">
        <f>IF(W6="","","bis")</f>
        <v>bis</v>
      </c>
      <c r="Y6" s="110">
        <f>(((SQRT($V6)*$B$3)/SQRT(3))*60000)/($B$12*$B$15)</f>
        <v>6.7882250993908562</v>
      </c>
      <c r="Z6" s="113">
        <f>_1905f</f>
        <v>1.5</v>
      </c>
      <c r="AA6" s="109" t="str">
        <f>IF(Z6="","","bis")</f>
        <v>bis</v>
      </c>
      <c r="AB6" s="114">
        <f>_1905g</f>
        <v>6</v>
      </c>
    </row>
    <row r="7" spans="1:28" ht="18.75" thickBot="1" x14ac:dyDescent="0.3">
      <c r="A7" s="135">
        <v>7</v>
      </c>
      <c r="B7" s="106">
        <f>(((SQRT(B5)*$B$3)/SQRT(3))*$C$15)/$A7</f>
        <v>158.35893097772595</v>
      </c>
      <c r="C7" s="106">
        <f>(((SQRT(C5)*$B$3)/SQRT(3))*$C$15)/$A7</f>
        <v>274.28571428571428</v>
      </c>
      <c r="D7" s="106">
        <f>(((SQRT(D5)*$B$3)/SQRT(3))*$C$15)/$A7</f>
        <v>387.89857710804893</v>
      </c>
      <c r="F7" s="107" t="str">
        <f>_1883b</f>
        <v>Lechler</v>
      </c>
      <c r="G7" s="107" t="str">
        <f>_1883c</f>
        <v>IDKT 120 04</v>
      </c>
      <c r="H7" s="108">
        <f>_1883h</f>
        <v>1</v>
      </c>
      <c r="I7" s="109" t="str">
        <f>IF(H7="","","bis")</f>
        <v>bis</v>
      </c>
      <c r="J7" s="112">
        <f>_1883i</f>
        <v>2</v>
      </c>
      <c r="K7" s="111">
        <f>(((SQRT($H7)*$B$3)/SQRT(3))*60000)/($B$12*$B$15)</f>
        <v>5.5425625842204074</v>
      </c>
      <c r="L7" s="109" t="str">
        <f>IF(K7="","","bis")</f>
        <v>bis</v>
      </c>
      <c r="M7" s="112">
        <f>(((SQRT($J7)*$B$3)/SQRT(3))*60000)/($B$12*$B$15)</f>
        <v>7.8383671769061722</v>
      </c>
      <c r="N7" s="111">
        <f>_1883j</f>
        <v>1</v>
      </c>
      <c r="O7" s="109" t="str">
        <f>IF(N7="","","bis")</f>
        <v>bis</v>
      </c>
      <c r="P7" s="112">
        <f>_1883k</f>
        <v>1.5</v>
      </c>
      <c r="Q7" s="111">
        <f>(((SQRT($N7)*$B$3)/SQRT(3))*60000)/($B$12*$B$15)</f>
        <v>5.5425625842204074</v>
      </c>
      <c r="R7" s="109" t="str">
        <f>IF(Q7="","","bis")</f>
        <v>bis</v>
      </c>
      <c r="S7" s="112">
        <f>(((SQRT($P7)*$B$3)/SQRT(3))*60000)/($B$12*$B$15)</f>
        <v>6.7882250993908562</v>
      </c>
      <c r="T7" s="111">
        <f>_1883l</f>
        <v>1</v>
      </c>
      <c r="U7" s="109" t="str">
        <f>IF(T7="","","bis")</f>
        <v>bis</v>
      </c>
      <c r="V7" s="112">
        <f>_1883m</f>
        <v>1</v>
      </c>
      <c r="W7" s="111">
        <f>(((SQRT($T7)*$B$3)/SQRT(3))*60000)/($B$12*$B$15)</f>
        <v>5.5425625842204074</v>
      </c>
      <c r="X7" s="109" t="str">
        <f>IF(W7="","","bis")</f>
        <v>bis</v>
      </c>
      <c r="Y7" s="112">
        <f>(((SQRT($V7)*$B$3)/SQRT(3))*60000)/($B$12*$B$15)</f>
        <v>5.5425625842204074</v>
      </c>
      <c r="Z7" s="113">
        <f>_1883f</f>
        <v>1</v>
      </c>
      <c r="AA7" s="109" t="str">
        <f>IF(Z7="","","bis")</f>
        <v>bis</v>
      </c>
      <c r="AB7" s="114">
        <f>_1883g</f>
        <v>6</v>
      </c>
    </row>
    <row r="8" spans="1:28" ht="18.75" thickBot="1" x14ac:dyDescent="0.3">
      <c r="A8" s="135">
        <v>8</v>
      </c>
      <c r="B8" s="106">
        <f>(((SQRT(B5)*$B$3)/SQRT(3))*$C$15)/$A8</f>
        <v>138.5640646055102</v>
      </c>
      <c r="C8" s="106">
        <f>(((SQRT(C5)*$B$3)/SQRT(3))*1200)/$A8</f>
        <v>240</v>
      </c>
      <c r="D8" s="106">
        <f>(((SQRT(D5)*$B$3)/SQRT(3))*1200)/$A8</f>
        <v>339.41125496954282</v>
      </c>
      <c r="F8" s="107" t="str">
        <f>_1837b</f>
        <v>Lechler</v>
      </c>
      <c r="G8" s="107" t="str">
        <f>_1837c</f>
        <v>IDKT 120 04 C</v>
      </c>
      <c r="H8" s="108">
        <f>_1837h</f>
        <v>1</v>
      </c>
      <c r="I8" s="109" t="str">
        <f>IF(H8="","","bis")</f>
        <v>bis</v>
      </c>
      <c r="J8" s="112">
        <f>_1837i</f>
        <v>3</v>
      </c>
      <c r="K8" s="111">
        <f>(((SQRT($H8)*$B$3)/SQRT(3))*60000)/($B$12*$B$15)</f>
        <v>5.5425625842204074</v>
      </c>
      <c r="L8" s="109" t="str">
        <f>IF(K8="","","bis")</f>
        <v>bis</v>
      </c>
      <c r="M8" s="112">
        <f>(((SQRT($J8)*$B$3)/SQRT(3))*60000)/($B$12*$B$15)</f>
        <v>9.6</v>
      </c>
      <c r="N8" s="111">
        <f>_1837j</f>
        <v>1</v>
      </c>
      <c r="O8" s="109" t="str">
        <f>IF(N8="","","bis")</f>
        <v>bis</v>
      </c>
      <c r="P8" s="112">
        <f>_1837k</f>
        <v>1.5</v>
      </c>
      <c r="Q8" s="111">
        <f>(((SQRT($N8)*$B$3)/SQRT(3))*60000)/($B$12*$B$15)</f>
        <v>5.5425625842204074</v>
      </c>
      <c r="R8" s="109" t="str">
        <f>IF(Q8="","","bis")</f>
        <v>bis</v>
      </c>
      <c r="S8" s="112">
        <f>(((SQRT($P8)*$B$3)/SQRT(3))*60000)/($B$12*$B$15)</f>
        <v>6.7882250993908562</v>
      </c>
      <c r="T8" s="111">
        <f>_1837l</f>
        <v>1</v>
      </c>
      <c r="U8" s="109" t="str">
        <f>IF(T8="","","bis")</f>
        <v>bis</v>
      </c>
      <c r="V8" s="112">
        <f>_1837m</f>
        <v>1</v>
      </c>
      <c r="W8" s="111">
        <f>(((SQRT($T8)*$B$3)/SQRT(3))*60000)/($B$12*$B$15)</f>
        <v>5.5425625842204074</v>
      </c>
      <c r="X8" s="109" t="str">
        <f>IF(W8="","","bis")</f>
        <v>bis</v>
      </c>
      <c r="Y8" s="112">
        <f>(((SQRT($V8)*$B$3)/SQRT(3))*60000)/($B$12*$B$15)</f>
        <v>5.5425625842204074</v>
      </c>
      <c r="Z8" s="113">
        <f>_1837f</f>
        <v>1</v>
      </c>
      <c r="AA8" s="109" t="str">
        <f>IF(Z8="","","bis")</f>
        <v>bis</v>
      </c>
      <c r="AB8" s="114">
        <f>_1837g</f>
        <v>6</v>
      </c>
    </row>
    <row r="9" spans="1:28" ht="18.75" thickBot="1" x14ac:dyDescent="0.3">
      <c r="A9" s="135">
        <v>9</v>
      </c>
      <c r="B9" s="106">
        <f>(((SQRT(B5)*$B$3)/SQRT(3))*$C$15)/$A9</f>
        <v>123.16805742712017</v>
      </c>
      <c r="C9" s="106">
        <f>(((SQRT(C5)*$B$3)/SQRT(3))*$C$15)/$A9</f>
        <v>213.33333333333334</v>
      </c>
      <c r="D9" s="106">
        <f>(((SQRT(D5)*$B$3)/SQRT(3))*$C$15)/$A9</f>
        <v>301.69889330626029</v>
      </c>
      <c r="F9" s="107" t="str">
        <f>_1908b</f>
        <v>Hardi</v>
      </c>
      <c r="G9" s="107" t="str">
        <f>_1908c</f>
        <v>MiniDrift Duo 110 04</v>
      </c>
      <c r="H9" s="108">
        <f>_1908h</f>
        <v>1</v>
      </c>
      <c r="I9" s="109" t="str">
        <f>IF(H9="","","bis")</f>
        <v>bis</v>
      </c>
      <c r="J9" s="112">
        <f>_1908i</f>
        <v>2</v>
      </c>
      <c r="K9" s="111">
        <f>(((SQRT($H9)*$B$3)/SQRT(3))*60000)/($B$12*$B$15)</f>
        <v>5.5425625842204074</v>
      </c>
      <c r="L9" s="109" t="str">
        <f>IF(K9="","","bis")</f>
        <v>bis</v>
      </c>
      <c r="M9" s="112">
        <f>(((SQRT($J9)*$B$3)/SQRT(3))*60000)/($B$12*$B$15)</f>
        <v>7.8383671769061722</v>
      </c>
      <c r="N9" s="111">
        <f>_1908J</f>
        <v>1</v>
      </c>
      <c r="O9" s="109" t="str">
        <f>IF(N9="","","bis")</f>
        <v>bis</v>
      </c>
      <c r="P9" s="112">
        <f>_1908k</f>
        <v>1.5</v>
      </c>
      <c r="Q9" s="111">
        <f>(((SQRT($N9)*$B$3)/SQRT(3))*60000)/($B$12*$B$15)</f>
        <v>5.5425625842204074</v>
      </c>
      <c r="R9" s="109" t="str">
        <f>IF(Q9="","","bis")</f>
        <v>bis</v>
      </c>
      <c r="S9" s="112">
        <f>(((SQRT($P9)*$B$3)/SQRT(3))*60000)/($B$12*$B$15)</f>
        <v>6.7882250993908562</v>
      </c>
      <c r="T9" s="111">
        <f>_1908l</f>
        <v>1</v>
      </c>
      <c r="U9" s="109" t="str">
        <f>IF(T9="","","bis")</f>
        <v>bis</v>
      </c>
      <c r="V9" s="110">
        <f>_1908m</f>
        <v>1</v>
      </c>
      <c r="W9" s="111">
        <f>(((SQRT($T9)*$B$3)/SQRT(3))*60000)/($B$12*$B$15)</f>
        <v>5.5425625842204074</v>
      </c>
      <c r="X9" s="109" t="str">
        <f>IF(W9="","","bis")</f>
        <v>bis</v>
      </c>
      <c r="Y9" s="112">
        <f>(((SQRT($V9)*$B$3)/SQRT(3))*60000)/($B$12*$B$15)</f>
        <v>5.5425625842204074</v>
      </c>
      <c r="Z9" s="113">
        <f>_1908f</f>
        <v>1</v>
      </c>
      <c r="AA9" s="109" t="str">
        <f>IF(Z9="","","bis")</f>
        <v>bis</v>
      </c>
      <c r="AB9" s="114">
        <f>_1908g</f>
        <v>6</v>
      </c>
    </row>
    <row r="10" spans="1:28" ht="18.75" thickBot="1" x14ac:dyDescent="0.3">
      <c r="A10" s="136">
        <v>10</v>
      </c>
      <c r="B10" s="115">
        <f>(((SQRT(B5)*$B$3)/SQRT(3))*$C$15)/$A10</f>
        <v>110.85125168440815</v>
      </c>
      <c r="C10" s="115">
        <f>(((SQRT(C5)*$B$3)/SQRT(3))*$C$15)/$A10</f>
        <v>192</v>
      </c>
      <c r="D10" s="115">
        <f>(((SQRT(D5)*$B$3)/SQRT(3))*$C$15)/$A10</f>
        <v>271.52900397563428</v>
      </c>
      <c r="F10" s="107" t="str">
        <f>_2212b</f>
        <v>Lechler</v>
      </c>
      <c r="G10" s="107" t="str">
        <f>_2212c</f>
        <v>PSGATCQ2004</v>
      </c>
      <c r="H10" s="108">
        <f>_2212h</f>
        <v>1</v>
      </c>
      <c r="I10" s="109" t="str">
        <f>IF(H10="","","bis")</f>
        <v>bis</v>
      </c>
      <c r="J10" s="112">
        <f>_2212i</f>
        <v>3</v>
      </c>
      <c r="K10" s="111">
        <f>(((SQRT($H10)*$B$3)/SQRT(3))*60000)/($B$12*$B$15)</f>
        <v>5.5425625842204074</v>
      </c>
      <c r="L10" s="109" t="str">
        <f>IF(K10="","","bis")</f>
        <v>bis</v>
      </c>
      <c r="M10" s="112">
        <f>(((SQRT($J10)*$B$3)/SQRT(3))*60000)/($B$12*$B$15)</f>
        <v>9.6</v>
      </c>
      <c r="N10" s="111">
        <f>_2212j</f>
        <v>1</v>
      </c>
      <c r="O10" s="109" t="str">
        <f>IF(N10="","","bis")</f>
        <v>bis</v>
      </c>
      <c r="P10" s="112">
        <f>_2212k</f>
        <v>1.5</v>
      </c>
      <c r="Q10" s="111">
        <f>(((SQRT($N10)*$B$3)/SQRT(3))*60000)/($B$12*$B$15)</f>
        <v>5.5425625842204074</v>
      </c>
      <c r="R10" s="109" t="str">
        <f>IF(Q10="","","bis")</f>
        <v>bis</v>
      </c>
      <c r="S10" s="112">
        <f>(((SQRT($P10)*$B$3)/SQRT(3))*60000)/($B$12*$B$15)</f>
        <v>6.7882250993908562</v>
      </c>
      <c r="T10" s="111">
        <f>_2212l</f>
        <v>1</v>
      </c>
      <c r="U10" s="109" t="str">
        <f>IF(T10="","","bis")</f>
        <v>bis</v>
      </c>
      <c r="V10" s="112">
        <f>_2212m</f>
        <v>1</v>
      </c>
      <c r="W10" s="111">
        <f>(((SQRT($T10)*$B$3)/SQRT(3))*60000)/($B$12*$B$15)</f>
        <v>5.5425625842204074</v>
      </c>
      <c r="X10" s="109" t="str">
        <f>IF(W10="","","bis")</f>
        <v>bis</v>
      </c>
      <c r="Y10" s="112">
        <f>(((SQRT($V10)*$B$3)/SQRT(3))*60000)/($B$12*$B$15)</f>
        <v>5.5425625842204074</v>
      </c>
      <c r="Z10" s="113">
        <f>_2212f</f>
        <v>1</v>
      </c>
      <c r="AA10" s="109" t="str">
        <f>IF(Z10="","","bis")</f>
        <v>bis</v>
      </c>
      <c r="AB10" s="114">
        <f>_2212g</f>
        <v>6</v>
      </c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0.81380208333333304</v>
      </c>
      <c r="C13" s="124">
        <f>(B12*B14*B15)/60000</f>
        <v>0.83333333333333337</v>
      </c>
      <c r="D13" s="120">
        <f>POWER(((SQRT(3)*$E$13)/$B$3),2)</f>
        <v>9.9690755208333286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54MWvu5fr9cS/q3zOyvi2oRSLQ91DWjiDX3rBe3ZyQTmLtsK9iqzfubC/ql2Vb5PFqqLVnES60hjO3xU1rKhcg==" saltValue="St5TbCG2GA24Pu6Hw8568w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359" priority="8" operator="greaterThan">
      <formula>$B$12</formula>
    </cfRule>
  </conditionalFormatting>
  <conditionalFormatting sqref="C6">
    <cfRule type="cellIs" dxfId="358" priority="14" operator="greaterThan">
      <formula>$B$12</formula>
    </cfRule>
  </conditionalFormatting>
  <conditionalFormatting sqref="B6">
    <cfRule type="cellIs" dxfId="357" priority="15" operator="greaterThan">
      <formula>$B$12</formula>
    </cfRule>
  </conditionalFormatting>
  <conditionalFormatting sqref="B7">
    <cfRule type="cellIs" dxfId="356" priority="12" operator="greaterThan">
      <formula>$B$12</formula>
    </cfRule>
  </conditionalFormatting>
  <conditionalFormatting sqref="D10">
    <cfRule type="cellIs" dxfId="355" priority="1" operator="greaterThan">
      <formula>$B$12</formula>
    </cfRule>
  </conditionalFormatting>
  <conditionalFormatting sqref="D6">
    <cfRule type="cellIs" dxfId="354" priority="13" operator="greaterThan">
      <formula>$B$12</formula>
    </cfRule>
  </conditionalFormatting>
  <conditionalFormatting sqref="C7">
    <cfRule type="cellIs" dxfId="353" priority="11" operator="greaterThan">
      <formula>$B$12</formula>
    </cfRule>
  </conditionalFormatting>
  <conditionalFormatting sqref="D7">
    <cfRule type="cellIs" dxfId="352" priority="10" operator="greaterThan">
      <formula>$B$12</formula>
    </cfRule>
  </conditionalFormatting>
  <conditionalFormatting sqref="B8">
    <cfRule type="cellIs" dxfId="351" priority="9" operator="greaterThan">
      <formula>$B$12</formula>
    </cfRule>
  </conditionalFormatting>
  <conditionalFormatting sqref="B10">
    <cfRule type="cellIs" dxfId="350" priority="7" operator="greaterThan">
      <formula>$B$12</formula>
    </cfRule>
  </conditionalFormatting>
  <conditionalFormatting sqref="C8">
    <cfRule type="cellIs" dxfId="349" priority="6" operator="greaterThan">
      <formula>$B$12</formula>
    </cfRule>
  </conditionalFormatting>
  <conditionalFormatting sqref="D8">
    <cfRule type="cellIs" dxfId="348" priority="5" operator="greaterThan">
      <formula>$B$12</formula>
    </cfRule>
  </conditionalFormatting>
  <conditionalFormatting sqref="C9">
    <cfRule type="cellIs" dxfId="347" priority="4" operator="greaterThan">
      <formula>$B$12</formula>
    </cfRule>
  </conditionalFormatting>
  <conditionalFormatting sqref="D9">
    <cfRule type="cellIs" dxfId="346" priority="3" operator="greaterThan">
      <formula>$B$12</formula>
    </cfRule>
  </conditionalFormatting>
  <conditionalFormatting sqref="C10">
    <cfRule type="cellIs" dxfId="345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23.3320312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7" t="s">
        <v>71</v>
      </c>
      <c r="B3" s="403">
        <v>1.6</v>
      </c>
      <c r="C3" s="403"/>
      <c r="D3" s="404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2</v>
      </c>
      <c r="C5" s="104">
        <v>5</v>
      </c>
      <c r="D5" s="104">
        <v>8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261.2789058968724</v>
      </c>
      <c r="C6" s="106">
        <f>(((SQRT(C5)*$B$3)/SQRT(3))*$C$15)/$A6</f>
        <v>413.11822359545789</v>
      </c>
      <c r="D6" s="106">
        <f>(((SQRT(D5)*$B$3)/SQRT(3))*$C$15)/$A6</f>
        <v>522.5578117937448</v>
      </c>
      <c r="F6" s="107" t="str">
        <f>_1848b</f>
        <v>TeeJet</v>
      </c>
      <c r="G6" s="107" t="str">
        <f>_1848c</f>
        <v>AITTJ60 110 04</v>
      </c>
      <c r="H6" s="108">
        <f>_1848h</f>
        <v>1.5</v>
      </c>
      <c r="I6" s="109" t="str">
        <f>IF(H6="","","bis")</f>
        <v>bis</v>
      </c>
      <c r="J6" s="110">
        <f>_1848i</f>
        <v>4</v>
      </c>
      <c r="K6" s="111">
        <f>(((SQRT($H6)*$B$3)/SQRT(3))*60000)/($B$12*$B$15)</f>
        <v>6.7882250993908562</v>
      </c>
      <c r="L6" s="109" t="str">
        <f>IF(K6="","","bis")</f>
        <v>bis</v>
      </c>
      <c r="M6" s="112">
        <f>(((SQRT($J6)*$B$3)/SQRT(3))*60000)/($B$12*$B$15)</f>
        <v>11.085125168440815</v>
      </c>
      <c r="N6" s="110">
        <f>_1848j</f>
        <v>1.5</v>
      </c>
      <c r="O6" s="109" t="str">
        <f>IF(N6="","","bis")</f>
        <v>bis</v>
      </c>
      <c r="P6" s="112">
        <f>_1848k</f>
        <v>2</v>
      </c>
      <c r="Q6" s="111">
        <f>(((SQRT($N6)*$B$3)/SQRT(3))*60000)/($B$12*$B$15)</f>
        <v>6.7882250993908562</v>
      </c>
      <c r="R6" s="109" t="str">
        <f>IF(Q6="","","bis")</f>
        <v>bis</v>
      </c>
      <c r="S6" s="112">
        <f>(((SQRT($P6)*$B$3)/SQRT(3))*60000)/($B$12*$B$15)</f>
        <v>7.8383671769061722</v>
      </c>
      <c r="T6" s="111">
        <f>_1848l</f>
        <v>1.5</v>
      </c>
      <c r="U6" s="109" t="str">
        <f>IF(T6="","","bis")</f>
        <v>bis</v>
      </c>
      <c r="V6" s="110">
        <f>_1848m</f>
        <v>1.5</v>
      </c>
      <c r="W6" s="111">
        <f>(((SQRT($T6)*$B$3)/SQRT(3))*60000)/($B$12*$B$15)</f>
        <v>6.7882250993908562</v>
      </c>
      <c r="X6" s="109" t="str">
        <f>IF(W6="","","bis")</f>
        <v>bis</v>
      </c>
      <c r="Y6" s="110">
        <f>(((SQRT($V6)*$B$3)/SQRT(3))*60000)/($B$12*$B$15)</f>
        <v>6.7882250993908562</v>
      </c>
      <c r="Z6" s="113">
        <f>_1848f</f>
        <v>1.5</v>
      </c>
      <c r="AA6" s="109" t="str">
        <f>IF(Z6="","","bis")</f>
        <v>bis</v>
      </c>
      <c r="AB6" s="114">
        <f>_1848g</f>
        <v>8</v>
      </c>
    </row>
    <row r="7" spans="1:28" ht="18.75" thickBot="1" x14ac:dyDescent="0.3">
      <c r="A7" s="135">
        <v>7</v>
      </c>
      <c r="B7" s="106">
        <f>(((SQRT(B5)*$B$3)/SQRT(3))*$C$15)/$A7</f>
        <v>223.95334791160491</v>
      </c>
      <c r="C7" s="106">
        <f>(((SQRT(C5)*$B$3)/SQRT(3))*$C$15)/$A7</f>
        <v>354.10133451039246</v>
      </c>
      <c r="D7" s="106">
        <f>(((SQRT(D5)*$B$3)/SQRT(3))*$C$15)/$A7</f>
        <v>447.90669582320982</v>
      </c>
      <c r="F7" s="107" t="str">
        <f>_2017b</f>
        <v>Lechler</v>
      </c>
      <c r="G7" s="107" t="str">
        <f>_2017c</f>
        <v>IDTA 120 04 C</v>
      </c>
      <c r="H7" s="108">
        <f>_2017h</f>
        <v>0</v>
      </c>
      <c r="I7" s="109" t="str">
        <f>IF(H7="","","bis")</f>
        <v>bis</v>
      </c>
      <c r="J7" s="110">
        <f>_2017i</f>
        <v>0</v>
      </c>
      <c r="K7" s="111">
        <f>(((SQRT($H7)*$B$3)/SQRT(3))*60000)/($B$12*$B$15)</f>
        <v>0</v>
      </c>
      <c r="L7" s="109" t="str">
        <f>IF(K7="","","bis")</f>
        <v>bis</v>
      </c>
      <c r="M7" s="112">
        <f>(((SQRT($J7)*$B$3)/SQRT(3))*60000)/($B$12*$B$15)</f>
        <v>0</v>
      </c>
      <c r="N7" s="110">
        <f>_2017j</f>
        <v>1</v>
      </c>
      <c r="O7" s="109" t="str">
        <f>IF(N7="","","bis")</f>
        <v>bis</v>
      </c>
      <c r="P7" s="112">
        <f>_2017k</f>
        <v>2</v>
      </c>
      <c r="Q7" s="111">
        <f>(((SQRT($N7)*$B$3)/SQRT(3))*60000)/($B$12*$B$15)</f>
        <v>5.5425625842204074</v>
      </c>
      <c r="R7" s="109" t="str">
        <f>IF(Q7="","","bis")</f>
        <v>bis</v>
      </c>
      <c r="S7" s="112">
        <f>(((SQRT($P7)*$B$3)/SQRT(3))*60000)/($B$12*$B$15)</f>
        <v>7.8383671769061722</v>
      </c>
      <c r="T7" s="111">
        <f>_2017l</f>
        <v>1</v>
      </c>
      <c r="U7" s="109" t="str">
        <f>IF(T7="","","bis")</f>
        <v>bis</v>
      </c>
      <c r="V7" s="110">
        <f>_2017m</f>
        <v>1.5</v>
      </c>
      <c r="W7" s="111">
        <f>(((SQRT($T7)*$B$3)/SQRT(3))*60000)/($B$12*$B$15)</f>
        <v>5.5425625842204074</v>
      </c>
      <c r="X7" s="109" t="str">
        <f>IF(W7="","","bis")</f>
        <v>bis</v>
      </c>
      <c r="Y7" s="112">
        <f>(((SQRT($V7)*$B$3)/SQRT(3))*60000)/($B$12*$B$15)</f>
        <v>6.7882250993908562</v>
      </c>
      <c r="Z7" s="113">
        <f>_2017f</f>
        <v>1</v>
      </c>
      <c r="AA7" s="109" t="str">
        <f>IF(Z7="","","bis")</f>
        <v>bis</v>
      </c>
      <c r="AB7" s="114">
        <f>_2017g</f>
        <v>8</v>
      </c>
    </row>
    <row r="8" spans="1:28" ht="18.75" thickBot="1" x14ac:dyDescent="0.3">
      <c r="A8" s="135">
        <v>8</v>
      </c>
      <c r="B8" s="106">
        <f>(((SQRT(B5)*$B$3)/SQRT(3))*$C$15)/$A8</f>
        <v>195.9591794226543</v>
      </c>
      <c r="C8" s="106">
        <f>(((SQRT(C5)*$B$3)/SQRT(3))*1200)/$A8</f>
        <v>309.8386676965934</v>
      </c>
      <c r="D8" s="106">
        <f>(((SQRT(D5)*$B$3)/SQRT(3))*1200)/$A8</f>
        <v>391.9183588453086</v>
      </c>
      <c r="F8" s="107" t="str">
        <f>_b2019b</f>
        <v>Lechler</v>
      </c>
      <c r="G8" s="107" t="str">
        <f>_b2019c</f>
        <v>PSAULDCQ2004</v>
      </c>
      <c r="H8" s="108">
        <f>_b2019h</f>
        <v>0</v>
      </c>
      <c r="I8" s="109" t="str">
        <f>IF(H8="","","bis")</f>
        <v>bis</v>
      </c>
      <c r="J8" s="112">
        <f>_b2019i</f>
        <v>0</v>
      </c>
      <c r="K8" s="111">
        <f>(((SQRT($H8)*$B$3)/SQRT(3))*60000)/($B$12*$B$15)</f>
        <v>0</v>
      </c>
      <c r="L8" s="109" t="str">
        <f>IF(K8="","","bis")</f>
        <v>bis</v>
      </c>
      <c r="M8" s="112">
        <f>(((SQRT($J8)*$B$3)/SQRT(3))*60000)/($B$12*$B$15)</f>
        <v>0</v>
      </c>
      <c r="N8" s="111">
        <f>_b2019j</f>
        <v>1</v>
      </c>
      <c r="O8" s="109" t="str">
        <f>IF(N8="","","bis")</f>
        <v>bis</v>
      </c>
      <c r="P8" s="112">
        <f>_b2019k</f>
        <v>2</v>
      </c>
      <c r="Q8" s="111">
        <f>(((SQRT($N8)*$B$3)/SQRT(3))*60000)/($B$12*$B$15)</f>
        <v>5.5425625842204074</v>
      </c>
      <c r="R8" s="109" t="str">
        <f>IF(Q8="","","bis")</f>
        <v>bis</v>
      </c>
      <c r="S8" s="112">
        <f>(((SQRT($P8)*$B$3)/SQRT(3))*60000)/($B$12*$B$15)</f>
        <v>7.8383671769061722</v>
      </c>
      <c r="T8" s="111">
        <f>_b2019l</f>
        <v>1</v>
      </c>
      <c r="U8" s="109" t="str">
        <f>IF(T8="","","bis")</f>
        <v>bis</v>
      </c>
      <c r="V8" s="112">
        <f>_b2019m</f>
        <v>1.5</v>
      </c>
      <c r="W8" s="111">
        <f>(((SQRT($T8)*$B$3)/SQRT(3))*60000)/($B$12*$B$15)</f>
        <v>5.5425625842204074</v>
      </c>
      <c r="X8" s="109" t="str">
        <f>IF(W8="","","bis")</f>
        <v>bis</v>
      </c>
      <c r="Y8" s="112">
        <f>(((SQRT($V8)*$B$3)/SQRT(3))*60000)/($B$12*$B$15)</f>
        <v>6.7882250993908562</v>
      </c>
      <c r="Z8" s="113">
        <f>_b2019f</f>
        <v>1</v>
      </c>
      <c r="AA8" s="109" t="str">
        <f>IF(Z8="","","bis")</f>
        <v>bis</v>
      </c>
      <c r="AB8" s="114">
        <f>_b2019g</f>
        <v>8</v>
      </c>
    </row>
    <row r="9" spans="1:28" ht="18.75" thickBot="1" x14ac:dyDescent="0.3">
      <c r="A9" s="135">
        <v>9</v>
      </c>
      <c r="B9" s="106">
        <f>(((SQRT(B5)*$B$3)/SQRT(3))*$C$15)/$A9</f>
        <v>174.18593726458161</v>
      </c>
      <c r="C9" s="106">
        <f>(((SQRT(C5)*$B$3)/SQRT(3))*$C$15)/$A9</f>
        <v>275.41214906363859</v>
      </c>
      <c r="D9" s="106">
        <f>(((SQRT(D5)*$B$3)/SQRT(3))*$C$15)/$A9</f>
        <v>348.37187452916322</v>
      </c>
      <c r="F9" s="107" t="str">
        <f>_2047b</f>
        <v>TeeJet</v>
      </c>
      <c r="G9" s="107" t="str">
        <f>_2047c</f>
        <v>TTI60-110 04 VP-C</v>
      </c>
      <c r="H9" s="108">
        <f>_2047h</f>
        <v>1.5</v>
      </c>
      <c r="I9" s="109" t="str">
        <f>IF(H9="","","bis")</f>
        <v>bis</v>
      </c>
      <c r="J9" s="112">
        <f>_2047i</f>
        <v>7</v>
      </c>
      <c r="K9" s="111">
        <f>(((SQRT($H9)*$B$3)/SQRT(3))*60000)/($B$12*$B$15)</f>
        <v>6.7882250993908562</v>
      </c>
      <c r="L9" s="109" t="str">
        <f>IF(K9="","","bis")</f>
        <v>bis</v>
      </c>
      <c r="M9" s="112">
        <f>(((SQRT($J9)*$B$3)/SQRT(3))*60000)/($B$12*$B$15)</f>
        <v>14.664242223858691</v>
      </c>
      <c r="N9" s="111">
        <f>_2047j</f>
        <v>1.5</v>
      </c>
      <c r="O9" s="109" t="str">
        <f>IF(N9="","","bis")</f>
        <v>bis</v>
      </c>
      <c r="P9" s="112">
        <f>_2047k</f>
        <v>4</v>
      </c>
      <c r="Q9" s="111">
        <f>(((SQRT($N9)*$B$3)/SQRT(3))*60000)/($B$12*$B$15)</f>
        <v>6.7882250993908562</v>
      </c>
      <c r="R9" s="109" t="str">
        <f>IF(Q9="","","bis")</f>
        <v>bis</v>
      </c>
      <c r="S9" s="112">
        <f>(((SQRT($P9)*$B$3)/SQRT(3))*60000)/($B$12*$B$15)</f>
        <v>11.085125168440815</v>
      </c>
      <c r="T9" s="111">
        <f>_2047l</f>
        <v>1.5</v>
      </c>
      <c r="U9" s="109" t="str">
        <f>IF(T9="","","bis")</f>
        <v>bis</v>
      </c>
      <c r="V9" s="110">
        <f>_2047m</f>
        <v>3</v>
      </c>
      <c r="W9" s="111">
        <f>(((SQRT($T9)*$B$3)/SQRT(3))*60000)/($B$12*$B$15)</f>
        <v>6.7882250993908562</v>
      </c>
      <c r="X9" s="109" t="str">
        <f>IF(W9="","","bis")</f>
        <v>bis</v>
      </c>
      <c r="Y9" s="112">
        <f>(((SQRT($V9)*$B$3)/SQRT(3))*60000)/($B$12*$B$15)</f>
        <v>9.6</v>
      </c>
      <c r="Z9" s="113">
        <f>_2047f</f>
        <v>1.5</v>
      </c>
      <c r="AA9" s="109" t="str">
        <f>IF(Z9="","","bis")</f>
        <v>bis</v>
      </c>
      <c r="AB9" s="114">
        <f>_2047g</f>
        <v>7</v>
      </c>
    </row>
    <row r="10" spans="1:28" ht="18.75" thickBot="1" x14ac:dyDescent="0.3">
      <c r="A10" s="136">
        <v>10</v>
      </c>
      <c r="B10" s="115">
        <f>(((SQRT(B5)*$B$3)/SQRT(3))*$C$15)/$A10</f>
        <v>156.76734353812344</v>
      </c>
      <c r="C10" s="115">
        <f>(((SQRT(C5)*$B$3)/SQRT(3))*$C$15)/$A10</f>
        <v>247.87093415727472</v>
      </c>
      <c r="D10" s="115">
        <f>(((SQRT(D5)*$B$3)/SQRT(3))*$C$15)/$A10</f>
        <v>313.53468707624688</v>
      </c>
      <c r="F10" s="107" t="str">
        <f>_1821b</f>
        <v>Agrotop</v>
      </c>
      <c r="G10" s="107" t="str">
        <f>_1821c</f>
        <v>TurboDrop HiSpeed 04</v>
      </c>
      <c r="H10" s="108">
        <f>_1821h</f>
        <v>2</v>
      </c>
      <c r="I10" s="109" t="str">
        <f>IF(H10="","","bis")</f>
        <v>bis</v>
      </c>
      <c r="J10" s="112">
        <f>_1821i</f>
        <v>6</v>
      </c>
      <c r="K10" s="111">
        <f>(((SQRT($H10)*$B$3)/SQRT(3))*60000)/($B$12*$B$15)</f>
        <v>7.8383671769061722</v>
      </c>
      <c r="L10" s="109" t="str">
        <f>IF(K10="","","bis")</f>
        <v>bis</v>
      </c>
      <c r="M10" s="112">
        <f>(((SQRT($J10)*$B$3)/SQRT(3))*60000)/($B$12*$B$15)</f>
        <v>13.576450198781712</v>
      </c>
      <c r="N10" s="111">
        <f>_1821j</f>
        <v>2</v>
      </c>
      <c r="O10" s="109" t="str">
        <f>IF(N10="","","bis")</f>
        <v>bis</v>
      </c>
      <c r="P10" s="112">
        <f>_1821k</f>
        <v>3</v>
      </c>
      <c r="Q10" s="111">
        <f>(((SQRT($N10)*$B$3)/SQRT(3))*60000)/($B$12*$B$15)</f>
        <v>7.8383671769061722</v>
      </c>
      <c r="R10" s="109" t="str">
        <f>IF(Q10="","","bis")</f>
        <v>bis</v>
      </c>
      <c r="S10" s="112">
        <f>(((SQRT($P10)*$B$3)/SQRT(3))*60000)/($B$12*$B$15)</f>
        <v>9.6</v>
      </c>
      <c r="T10" s="111">
        <f>_1821l</f>
        <v>2</v>
      </c>
      <c r="U10" s="109" t="str">
        <f>IF(T10="","","bis")</f>
        <v>bis</v>
      </c>
      <c r="V10" s="112">
        <f>_1821m</f>
        <v>2</v>
      </c>
      <c r="W10" s="111">
        <f>(((SQRT($T10)*$B$3)/SQRT(3))*60000)/($B$12*$B$15)</f>
        <v>7.8383671769061722</v>
      </c>
      <c r="X10" s="109" t="str">
        <f>IF(W10="","","bis")</f>
        <v>bis</v>
      </c>
      <c r="Y10" s="112">
        <f>(((SQRT($V10)*$B$3)/SQRT(3))*60000)/($B$12*$B$15)</f>
        <v>7.8383671769061722</v>
      </c>
      <c r="Z10" s="113">
        <f>_1821f</f>
        <v>2</v>
      </c>
      <c r="AA10" s="109" t="str">
        <f>IF(Z10="","","bis")</f>
        <v>bis</v>
      </c>
      <c r="AB10" s="114">
        <f>_1821g</f>
        <v>8</v>
      </c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0.81380208333333304</v>
      </c>
      <c r="C13" s="124">
        <f>(B12*B14*B15)/60000</f>
        <v>0.83333333333333337</v>
      </c>
      <c r="D13" s="120">
        <f>POWER(((SQRT(3)*$E$13)/$B$3),2)</f>
        <v>9.9690755208333286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1xtkeUJvn/IeXx1VlgNKMaQoRvHLgkzXVpASd5CLAhXVg2BXIrSsUxZH6yA2EMmoDMs8nefZCD/KYA26Fx+mdw==" saltValue="VhmiGgINSLZM8GhlkyDOM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344" priority="8" operator="greaterThan">
      <formula>$B$12</formula>
    </cfRule>
  </conditionalFormatting>
  <conditionalFormatting sqref="C6">
    <cfRule type="cellIs" dxfId="343" priority="14" operator="greaterThan">
      <formula>$B$12</formula>
    </cfRule>
  </conditionalFormatting>
  <conditionalFormatting sqref="B6">
    <cfRule type="cellIs" dxfId="342" priority="15" operator="greaterThan">
      <formula>$B$12</formula>
    </cfRule>
  </conditionalFormatting>
  <conditionalFormatting sqref="B7">
    <cfRule type="cellIs" dxfId="341" priority="12" operator="greaterThan">
      <formula>$B$12</formula>
    </cfRule>
  </conditionalFormatting>
  <conditionalFormatting sqref="D10">
    <cfRule type="cellIs" dxfId="340" priority="1" operator="greaterThan">
      <formula>$B$12</formula>
    </cfRule>
  </conditionalFormatting>
  <conditionalFormatting sqref="D6">
    <cfRule type="cellIs" dxfId="339" priority="13" operator="greaterThan">
      <formula>$B$12</formula>
    </cfRule>
  </conditionalFormatting>
  <conditionalFormatting sqref="C7">
    <cfRule type="cellIs" dxfId="338" priority="11" operator="greaterThan">
      <formula>$B$12</formula>
    </cfRule>
  </conditionalFormatting>
  <conditionalFormatting sqref="D7">
    <cfRule type="cellIs" dxfId="337" priority="10" operator="greaterThan">
      <formula>$B$12</formula>
    </cfRule>
  </conditionalFormatting>
  <conditionalFormatting sqref="B8">
    <cfRule type="cellIs" dxfId="336" priority="9" operator="greaterThan">
      <formula>$B$12</formula>
    </cfRule>
  </conditionalFormatting>
  <conditionalFormatting sqref="B10">
    <cfRule type="cellIs" dxfId="335" priority="7" operator="greaterThan">
      <formula>$B$12</formula>
    </cfRule>
  </conditionalFormatting>
  <conditionalFormatting sqref="C8">
    <cfRule type="cellIs" dxfId="334" priority="6" operator="greaterThan">
      <formula>$B$12</formula>
    </cfRule>
  </conditionalFormatting>
  <conditionalFormatting sqref="D8">
    <cfRule type="cellIs" dxfId="333" priority="5" operator="greaterThan">
      <formula>$B$12</formula>
    </cfRule>
  </conditionalFormatting>
  <conditionalFormatting sqref="C9">
    <cfRule type="cellIs" dxfId="332" priority="4" operator="greaterThan">
      <formula>$B$12</formula>
    </cfRule>
  </conditionalFormatting>
  <conditionalFormatting sqref="D9">
    <cfRule type="cellIs" dxfId="331" priority="3" operator="greaterThan">
      <formula>$B$12</formula>
    </cfRule>
  </conditionalFormatting>
  <conditionalFormatting sqref="C10">
    <cfRule type="cellIs" dxfId="330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>
      <selection activeCell="E3" sqref="E3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16.44140625" style="63" bestFit="1" customWidth="1"/>
    <col min="8" max="14" width="5.21875" style="63" customWidth="1"/>
    <col min="15" max="20" width="5.21875" style="100" customWidth="1"/>
    <col min="21" max="27" width="5.21875" style="63" customWidth="1"/>
    <col min="28" max="28" width="6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8" t="s">
        <v>73</v>
      </c>
      <c r="B3" s="405">
        <v>2</v>
      </c>
      <c r="C3" s="405"/>
      <c r="D3" s="406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3</v>
      </c>
      <c r="D5" s="104">
        <v>6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230.94010767585033</v>
      </c>
      <c r="C6" s="106">
        <f>(((SQRT(C5)*$B$3)/SQRT(3))*$C$15)/$A6</f>
        <v>400</v>
      </c>
      <c r="D6" s="106">
        <f>(((SQRT(D5)*$B$3)/SQRT(3))*$C$15)/$A6</f>
        <v>565.68542494923793</v>
      </c>
      <c r="F6" s="107" t="str">
        <f>_1638b</f>
        <v>Agrotop</v>
      </c>
      <c r="G6" s="107" t="str">
        <f>_1638c</f>
        <v>Airmix 110 05</v>
      </c>
      <c r="H6" s="108">
        <f>_1638h</f>
        <v>1</v>
      </c>
      <c r="I6" s="109" t="str">
        <f t="shared" ref="I6:I13" si="0">IF(H6="","","bis")</f>
        <v>bis</v>
      </c>
      <c r="J6" s="112">
        <f>_1638i</f>
        <v>6</v>
      </c>
      <c r="K6" s="111">
        <f t="shared" ref="K6:K13" si="1">(((SQRT($H6)*$B$3)/SQRT(3))*60000)/($B$12*$B$15)</f>
        <v>4.6188021535170067</v>
      </c>
      <c r="L6" s="109" t="str">
        <f t="shared" ref="L6:L13" si="2">IF(K6="","","bis")</f>
        <v>bis</v>
      </c>
      <c r="M6" s="112">
        <f t="shared" ref="M6:M13" si="3">(((SQRT($J6)*$B$3)/SQRT(3))*60000)/($B$12*$B$15)</f>
        <v>11.313708498984759</v>
      </c>
      <c r="N6" s="108">
        <f>_1638j</f>
        <v>1</v>
      </c>
      <c r="O6" s="109" t="str">
        <f t="shared" ref="O6:O13" si="4">IF(N6="","","bis")</f>
        <v>bis</v>
      </c>
      <c r="P6" s="112">
        <f>_1638k</f>
        <v>1.5</v>
      </c>
      <c r="Q6" s="111">
        <f t="shared" ref="Q6:Q13" si="5">(((SQRT($N6)*$B$3)/SQRT(3))*60000)/($B$12*$B$15)</f>
        <v>4.6188021535170067</v>
      </c>
      <c r="R6" s="109" t="str">
        <f t="shared" ref="R6:R13" si="6">IF(Q6="","","bis")</f>
        <v>bis</v>
      </c>
      <c r="S6" s="112">
        <f t="shared" ref="S6:S13" si="7">(((SQRT($P6)*$B$3)/SQRT(3))*60000)/($B$12*$B$15)</f>
        <v>5.6568542494923797</v>
      </c>
      <c r="T6" s="108">
        <f>_1638l</f>
        <v>1</v>
      </c>
      <c r="U6" s="109" t="str">
        <f t="shared" ref="U6:U13" si="8">IF(T6="","","bis")</f>
        <v>bis</v>
      </c>
      <c r="V6" s="112">
        <f>_1638m</f>
        <v>1</v>
      </c>
      <c r="W6" s="111">
        <f t="shared" ref="W6:W13" si="9">(((SQRT($T6)*$B$3)/SQRT(3))*60000)/($B$12*$B$15)</f>
        <v>4.6188021535170067</v>
      </c>
      <c r="X6" s="109" t="str">
        <f t="shared" ref="X6:X13" si="10">IF(W6="","","bis")</f>
        <v>bis</v>
      </c>
      <c r="Y6" s="110">
        <f t="shared" ref="Y6:Y13" si="11">(((SQRT($V6)*$B$3)/SQRT(3))*60000)/($B$12*$B$15)</f>
        <v>4.6188021535170067</v>
      </c>
      <c r="Z6" s="113">
        <f>_1638f</f>
        <v>1</v>
      </c>
      <c r="AA6" s="109" t="str">
        <f t="shared" ref="AA6:AA13" si="12">IF(Z6="","","bis")</f>
        <v>bis</v>
      </c>
      <c r="AB6" s="114">
        <f>_1638g</f>
        <v>6</v>
      </c>
    </row>
    <row r="7" spans="1:28" ht="18.75" thickBot="1" x14ac:dyDescent="0.3">
      <c r="A7" s="135">
        <v>7</v>
      </c>
      <c r="B7" s="106">
        <f>(((SQRT(B5)*$B$3)/SQRT(3))*$C$15)/$A7</f>
        <v>197.94866372215742</v>
      </c>
      <c r="C7" s="106">
        <f>(((SQRT(C5)*$B$3)/SQRT(3))*$C$15)/$A7</f>
        <v>342.85714285714283</v>
      </c>
      <c r="D7" s="106">
        <f>(((SQRT(D5)*$B$3)/SQRT(3))*$C$15)/$A7</f>
        <v>484.87322138506113</v>
      </c>
      <c r="F7" s="107" t="str">
        <f>_1795b</f>
        <v>TeeJet</v>
      </c>
      <c r="G7" s="107" t="str">
        <f>_1795c</f>
        <v>AIXR 110 05</v>
      </c>
      <c r="H7" s="108">
        <f>_1795h</f>
        <v>1</v>
      </c>
      <c r="I7" s="109" t="str">
        <f t="shared" si="0"/>
        <v>bis</v>
      </c>
      <c r="J7" s="112">
        <f>_1795i</f>
        <v>6</v>
      </c>
      <c r="K7" s="111">
        <f t="shared" si="1"/>
        <v>4.6188021535170067</v>
      </c>
      <c r="L7" s="109" t="str">
        <f t="shared" si="2"/>
        <v>bis</v>
      </c>
      <c r="M7" s="112">
        <f t="shared" si="3"/>
        <v>11.313708498984759</v>
      </c>
      <c r="N7" s="108">
        <f>_1795j</f>
        <v>1</v>
      </c>
      <c r="O7" s="109" t="str">
        <f t="shared" si="4"/>
        <v>bis</v>
      </c>
      <c r="P7" s="112">
        <f>_1795k</f>
        <v>2.5</v>
      </c>
      <c r="Q7" s="111">
        <f t="shared" si="5"/>
        <v>4.6188021535170067</v>
      </c>
      <c r="R7" s="109" t="str">
        <f t="shared" si="6"/>
        <v>bis</v>
      </c>
      <c r="S7" s="112">
        <f t="shared" si="7"/>
        <v>7.3029674334022161</v>
      </c>
      <c r="T7" s="108">
        <f>_1795l</f>
        <v>1</v>
      </c>
      <c r="U7" s="109" t="str">
        <f t="shared" si="8"/>
        <v>bis</v>
      </c>
      <c r="V7" s="112">
        <f>_1795m</f>
        <v>1.5</v>
      </c>
      <c r="W7" s="111">
        <f t="shared" si="9"/>
        <v>4.6188021535170067</v>
      </c>
      <c r="X7" s="109" t="str">
        <f t="shared" si="10"/>
        <v>bis</v>
      </c>
      <c r="Y7" s="112">
        <f t="shared" si="11"/>
        <v>5.6568542494923797</v>
      </c>
      <c r="Z7" s="113">
        <f>_1795f</f>
        <v>1</v>
      </c>
      <c r="AA7" s="109" t="str">
        <f t="shared" si="12"/>
        <v>bis</v>
      </c>
      <c r="AB7" s="114">
        <f>_1795g</f>
        <v>6</v>
      </c>
    </row>
    <row r="8" spans="1:28" ht="18.75" thickBot="1" x14ac:dyDescent="0.3">
      <c r="A8" s="135">
        <v>8</v>
      </c>
      <c r="B8" s="106">
        <f>(((SQRT(B5)*$B$3)/SQRT(3))*$C$15)/$A8</f>
        <v>173.20508075688775</v>
      </c>
      <c r="C8" s="106">
        <f>(((SQRT(C5)*$B$3)/SQRT(3))*1200)/$A8</f>
        <v>300</v>
      </c>
      <c r="D8" s="106">
        <f>(((SQRT(D5)*$B$3)/SQRT(3))*1200)/$A8</f>
        <v>424.26406871192847</v>
      </c>
      <c r="F8" s="107" t="str">
        <f>_1963b</f>
        <v>Lechler</v>
      </c>
      <c r="G8" s="107" t="str">
        <f>_1963c</f>
        <v>IDK 120 05</v>
      </c>
      <c r="H8" s="108">
        <f>_1963h</f>
        <v>1</v>
      </c>
      <c r="I8" s="109" t="str">
        <f t="shared" si="0"/>
        <v>bis</v>
      </c>
      <c r="J8" s="112">
        <f>_1963i</f>
        <v>4</v>
      </c>
      <c r="K8" s="111">
        <f t="shared" si="1"/>
        <v>4.6188021535170067</v>
      </c>
      <c r="L8" s="109" t="str">
        <f t="shared" si="2"/>
        <v>bis</v>
      </c>
      <c r="M8" s="112">
        <f t="shared" si="3"/>
        <v>9.2376043070340135</v>
      </c>
      <c r="N8" s="108">
        <f>_1963j</f>
        <v>1</v>
      </c>
      <c r="O8" s="109" t="str">
        <f t="shared" si="4"/>
        <v>bis</v>
      </c>
      <c r="P8" s="112">
        <f>_1963k</f>
        <v>1.5</v>
      </c>
      <c r="Q8" s="111">
        <f t="shared" si="5"/>
        <v>4.6188021535170067</v>
      </c>
      <c r="R8" s="109" t="str">
        <f t="shared" si="6"/>
        <v>bis</v>
      </c>
      <c r="S8" s="112">
        <f t="shared" si="7"/>
        <v>5.6568542494923797</v>
      </c>
      <c r="T8" s="108">
        <f>_1963l</f>
        <v>1</v>
      </c>
      <c r="U8" s="109" t="str">
        <f t="shared" si="8"/>
        <v>bis</v>
      </c>
      <c r="V8" s="112">
        <f>_1963m</f>
        <v>1</v>
      </c>
      <c r="W8" s="111">
        <f t="shared" si="9"/>
        <v>4.6188021535170067</v>
      </c>
      <c r="X8" s="109" t="str">
        <f t="shared" si="10"/>
        <v>bis</v>
      </c>
      <c r="Y8" s="112">
        <f t="shared" si="11"/>
        <v>4.6188021535170067</v>
      </c>
      <c r="Z8" s="113">
        <f>_1963f</f>
        <v>1</v>
      </c>
      <c r="AA8" s="109" t="str">
        <f t="shared" si="12"/>
        <v>bis</v>
      </c>
      <c r="AB8" s="114">
        <f>_1963g</f>
        <v>6</v>
      </c>
    </row>
    <row r="9" spans="1:28" ht="18.75" thickBot="1" x14ac:dyDescent="0.3">
      <c r="A9" s="135">
        <v>9</v>
      </c>
      <c r="B9" s="106">
        <f>(((SQRT(B5)*$B$3)/SQRT(3))*$C$15)/$A9</f>
        <v>153.96007178390022</v>
      </c>
      <c r="C9" s="106">
        <f>(((SQRT(C5)*$B$3)/SQRT(3))*$C$15)/$A9</f>
        <v>266.66666666666669</v>
      </c>
      <c r="D9" s="106">
        <f>(((SQRT(D5)*$B$3)/SQRT(3))*$C$15)/$A9</f>
        <v>377.1236166328253</v>
      </c>
      <c r="F9" s="107" t="str">
        <f>_1784b</f>
        <v>Hardi</v>
      </c>
      <c r="G9" s="107" t="str">
        <f>_1784c</f>
        <v>MiniDrift MD 05</v>
      </c>
      <c r="H9" s="108">
        <f>_1784h</f>
        <v>1</v>
      </c>
      <c r="I9" s="109" t="str">
        <f t="shared" si="0"/>
        <v>bis</v>
      </c>
      <c r="J9" s="112">
        <f>_1784i</f>
        <v>6</v>
      </c>
      <c r="K9" s="111">
        <f t="shared" si="1"/>
        <v>4.6188021535170067</v>
      </c>
      <c r="L9" s="109" t="str">
        <f t="shared" si="2"/>
        <v>bis</v>
      </c>
      <c r="M9" s="112">
        <f t="shared" si="3"/>
        <v>11.313708498984759</v>
      </c>
      <c r="N9" s="108">
        <f>_1784j</f>
        <v>1</v>
      </c>
      <c r="O9" s="109" t="str">
        <f t="shared" si="4"/>
        <v>bis</v>
      </c>
      <c r="P9" s="112">
        <f>_1784k</f>
        <v>1.5</v>
      </c>
      <c r="Q9" s="111">
        <f t="shared" si="5"/>
        <v>4.6188021535170067</v>
      </c>
      <c r="R9" s="109" t="str">
        <f t="shared" si="6"/>
        <v>bis</v>
      </c>
      <c r="S9" s="112">
        <f t="shared" si="7"/>
        <v>5.6568542494923797</v>
      </c>
      <c r="T9" s="108">
        <f>_1784l</f>
        <v>1</v>
      </c>
      <c r="U9" s="109" t="str">
        <f t="shared" si="8"/>
        <v>bis</v>
      </c>
      <c r="V9" s="112">
        <f>_1784m</f>
        <v>1</v>
      </c>
      <c r="W9" s="111">
        <f t="shared" si="9"/>
        <v>4.6188021535170067</v>
      </c>
      <c r="X9" s="109" t="str">
        <f t="shared" si="10"/>
        <v>bis</v>
      </c>
      <c r="Y9" s="112">
        <f t="shared" si="11"/>
        <v>4.6188021535170067</v>
      </c>
      <c r="Z9" s="113">
        <f>_1784f</f>
        <v>1</v>
      </c>
      <c r="AA9" s="109" t="str">
        <f t="shared" si="12"/>
        <v>bis</v>
      </c>
      <c r="AB9" s="114">
        <f>_1784g</f>
        <v>6</v>
      </c>
    </row>
    <row r="10" spans="1:28" ht="18.75" thickBot="1" x14ac:dyDescent="0.3">
      <c r="A10" s="136">
        <v>10</v>
      </c>
      <c r="B10" s="115">
        <f>(((SQRT(B5)*$B$3)/SQRT(3))*$C$15)/$A10</f>
        <v>138.5640646055102</v>
      </c>
      <c r="C10" s="115">
        <f>(((SQRT(C5)*$B$3)/SQRT(3))*$C$15)/$A10</f>
        <v>240</v>
      </c>
      <c r="D10" s="115">
        <f>(((SQRT(D5)*$B$3)/SQRT(3))*$C$15)/$A10</f>
        <v>339.41125496954277</v>
      </c>
      <c r="F10" s="107" t="str">
        <f>_2234b</f>
        <v>Hardi</v>
      </c>
      <c r="G10" s="107" t="str">
        <f>_2234c</f>
        <v>NanoDrift ND 05</v>
      </c>
      <c r="H10" s="108">
        <f>_2234h</f>
        <v>1</v>
      </c>
      <c r="I10" s="109" t="str">
        <f t="shared" si="0"/>
        <v>bis</v>
      </c>
      <c r="J10" s="112">
        <f>_2234i</f>
        <v>6</v>
      </c>
      <c r="K10" s="111">
        <f t="shared" si="1"/>
        <v>4.6188021535170067</v>
      </c>
      <c r="L10" s="109" t="str">
        <f t="shared" si="2"/>
        <v>bis</v>
      </c>
      <c r="M10" s="112">
        <f t="shared" si="3"/>
        <v>11.313708498984759</v>
      </c>
      <c r="N10" s="111">
        <f>_2234j</f>
        <v>1</v>
      </c>
      <c r="O10" s="109" t="str">
        <f t="shared" si="4"/>
        <v>bis</v>
      </c>
      <c r="P10" s="112">
        <f>_2234k</f>
        <v>2</v>
      </c>
      <c r="Q10" s="111">
        <f t="shared" si="5"/>
        <v>4.6188021535170067</v>
      </c>
      <c r="R10" s="109" t="str">
        <f t="shared" si="6"/>
        <v>bis</v>
      </c>
      <c r="S10" s="112">
        <f t="shared" si="7"/>
        <v>6.5319726474218092</v>
      </c>
      <c r="T10" s="111">
        <f>_2234l</f>
        <v>1</v>
      </c>
      <c r="U10" s="109" t="str">
        <f t="shared" si="8"/>
        <v>bis</v>
      </c>
      <c r="V10" s="112">
        <f>_2234M</f>
        <v>1</v>
      </c>
      <c r="W10" s="111">
        <f t="shared" si="9"/>
        <v>4.6188021535170067</v>
      </c>
      <c r="X10" s="109" t="str">
        <f t="shared" si="10"/>
        <v>bis</v>
      </c>
      <c r="Y10" s="112">
        <f t="shared" si="11"/>
        <v>4.6188021535170067</v>
      </c>
      <c r="Z10" s="113">
        <f>_2234f</f>
        <v>1</v>
      </c>
      <c r="AA10" s="109" t="str">
        <f t="shared" si="12"/>
        <v>bis</v>
      </c>
      <c r="AB10" s="114">
        <f>_2234g</f>
        <v>6</v>
      </c>
    </row>
    <row r="11" spans="1:28" ht="18.75" thickBot="1" x14ac:dyDescent="0.3">
      <c r="F11" s="107" t="str">
        <f>_1780b</f>
        <v>Hypro</v>
      </c>
      <c r="G11" s="107" t="str">
        <f>_1780c</f>
        <v>PSULDQ2005A</v>
      </c>
      <c r="H11" s="108">
        <f>_1780h</f>
        <v>2.5</v>
      </c>
      <c r="I11" s="109" t="str">
        <f t="shared" si="0"/>
        <v>bis</v>
      </c>
      <c r="J11" s="112">
        <f>_1780i</f>
        <v>8</v>
      </c>
      <c r="K11" s="111">
        <f t="shared" si="1"/>
        <v>7.3029674334022161</v>
      </c>
      <c r="L11" s="109" t="str">
        <f t="shared" si="2"/>
        <v>bis</v>
      </c>
      <c r="M11" s="112">
        <f t="shared" si="3"/>
        <v>13.063945294843618</v>
      </c>
      <c r="N11" s="111">
        <f>_1780j</f>
        <v>2.5</v>
      </c>
      <c r="O11" s="109" t="str">
        <f t="shared" si="4"/>
        <v>bis</v>
      </c>
      <c r="P11" s="112">
        <f>_1780k</f>
        <v>8</v>
      </c>
      <c r="Q11" s="111">
        <f t="shared" si="5"/>
        <v>7.3029674334022161</v>
      </c>
      <c r="R11" s="109" t="str">
        <f t="shared" si="6"/>
        <v>bis</v>
      </c>
      <c r="S11" s="112">
        <f t="shared" si="7"/>
        <v>13.063945294843618</v>
      </c>
      <c r="T11" s="111">
        <f>_1780l</f>
        <v>2.5</v>
      </c>
      <c r="U11" s="109" t="str">
        <f t="shared" si="8"/>
        <v>bis</v>
      </c>
      <c r="V11" s="112">
        <f>_1780m</f>
        <v>8</v>
      </c>
      <c r="W11" s="111">
        <f t="shared" si="9"/>
        <v>7.3029674334022161</v>
      </c>
      <c r="X11" s="109" t="str">
        <f t="shared" si="10"/>
        <v>bis</v>
      </c>
      <c r="Y11" s="112">
        <f t="shared" si="11"/>
        <v>13.063945294843618</v>
      </c>
      <c r="Z11" s="113">
        <f>_1780f</f>
        <v>2.5</v>
      </c>
      <c r="AA11" s="109" t="str">
        <f t="shared" si="12"/>
        <v>bis</v>
      </c>
      <c r="AB11" s="114">
        <f>_1780g</f>
        <v>8</v>
      </c>
    </row>
    <row r="12" spans="1:28" ht="18.75" thickBot="1" x14ac:dyDescent="0.3">
      <c r="A12" s="117" t="s">
        <v>60</v>
      </c>
      <c r="B12" s="64">
        <v>300</v>
      </c>
      <c r="C12" s="66"/>
      <c r="D12" s="145">
        <f>Tabelle1!A2</f>
        <v>1000</v>
      </c>
      <c r="F12" s="107"/>
      <c r="G12" s="107"/>
      <c r="H12" s="108"/>
      <c r="I12" s="109" t="str">
        <f t="shared" si="0"/>
        <v/>
      </c>
      <c r="J12" s="112"/>
      <c r="K12" s="111">
        <f t="shared" si="1"/>
        <v>0</v>
      </c>
      <c r="L12" s="109" t="str">
        <f t="shared" si="2"/>
        <v>bis</v>
      </c>
      <c r="M12" s="112">
        <f t="shared" si="3"/>
        <v>0</v>
      </c>
      <c r="N12" s="111"/>
      <c r="O12" s="109" t="str">
        <f t="shared" si="4"/>
        <v/>
      </c>
      <c r="P12" s="112"/>
      <c r="Q12" s="111">
        <f t="shared" si="5"/>
        <v>0</v>
      </c>
      <c r="R12" s="109" t="str">
        <f t="shared" si="6"/>
        <v>bis</v>
      </c>
      <c r="S12" s="112">
        <f t="shared" si="7"/>
        <v>0</v>
      </c>
      <c r="T12" s="111"/>
      <c r="U12" s="109" t="str">
        <f t="shared" si="8"/>
        <v/>
      </c>
      <c r="V12" s="112"/>
      <c r="W12" s="111">
        <f t="shared" si="9"/>
        <v>0</v>
      </c>
      <c r="X12" s="109" t="str">
        <f t="shared" si="10"/>
        <v>bis</v>
      </c>
      <c r="Y12" s="112">
        <f t="shared" si="11"/>
        <v>0</v>
      </c>
      <c r="Z12" s="113"/>
      <c r="AA12" s="109" t="str">
        <f t="shared" si="12"/>
        <v/>
      </c>
      <c r="AB12" s="114"/>
    </row>
    <row r="13" spans="1:28" ht="18.75" thickBot="1" x14ac:dyDescent="0.3">
      <c r="A13" s="117" t="s">
        <v>61</v>
      </c>
      <c r="B13" s="120">
        <f>POWER(((SQRT(3)*$C$13)/$B$3),2)</f>
        <v>2.6367187499999996</v>
      </c>
      <c r="C13" s="124">
        <f>(B12*B14*B15)/60000</f>
        <v>1.875</v>
      </c>
      <c r="D13" s="120">
        <f>POWER(((SQRT(3)*$E$13)/$B$3),2)</f>
        <v>6.3802083333333313</v>
      </c>
      <c r="E13" s="124">
        <f>(D12*D14*D15)/60000</f>
        <v>2.9166666666666665</v>
      </c>
      <c r="F13" s="107"/>
      <c r="G13" s="107"/>
      <c r="H13" s="108"/>
      <c r="I13" s="109" t="str">
        <f t="shared" si="0"/>
        <v/>
      </c>
      <c r="J13" s="112"/>
      <c r="K13" s="111">
        <f t="shared" si="1"/>
        <v>0</v>
      </c>
      <c r="L13" s="109" t="str">
        <f t="shared" si="2"/>
        <v>bis</v>
      </c>
      <c r="M13" s="112">
        <f t="shared" si="3"/>
        <v>0</v>
      </c>
      <c r="N13" s="111"/>
      <c r="O13" s="109" t="str">
        <f t="shared" si="4"/>
        <v/>
      </c>
      <c r="P13" s="112"/>
      <c r="Q13" s="111">
        <f t="shared" si="5"/>
        <v>0</v>
      </c>
      <c r="R13" s="109" t="str">
        <f t="shared" si="6"/>
        <v>bis</v>
      </c>
      <c r="S13" s="112">
        <f t="shared" si="7"/>
        <v>0</v>
      </c>
      <c r="T13" s="111"/>
      <c r="U13" s="109" t="str">
        <f t="shared" si="8"/>
        <v/>
      </c>
      <c r="V13" s="112"/>
      <c r="W13" s="111">
        <f t="shared" si="9"/>
        <v>0</v>
      </c>
      <c r="X13" s="109" t="str">
        <f t="shared" si="10"/>
        <v>bis</v>
      </c>
      <c r="Y13" s="112">
        <f t="shared" si="11"/>
        <v>0</v>
      </c>
      <c r="Z13" s="113"/>
      <c r="AA13" s="109" t="str">
        <f t="shared" si="12"/>
        <v/>
      </c>
      <c r="AB13" s="114"/>
    </row>
    <row r="14" spans="1:28" ht="18.75" thickBot="1" x14ac:dyDescent="0.3">
      <c r="A14" s="117" t="s">
        <v>62</v>
      </c>
      <c r="B14" s="78">
        <v>7.5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jzMXsIpaSNyqxdKCel0160BauA5D4bGZHk17Bsyd4rCToEWZ4BxglS43OU1Rt5K8s1rHHnM7HKqicLKqtrSkLg==" saltValue="ioTO6XlkFxrUPgNHNXxCmA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329" priority="8" operator="greaterThan">
      <formula>$B$12</formula>
    </cfRule>
  </conditionalFormatting>
  <conditionalFormatting sqref="C6">
    <cfRule type="cellIs" dxfId="328" priority="14" operator="greaterThan">
      <formula>$B$12</formula>
    </cfRule>
  </conditionalFormatting>
  <conditionalFormatting sqref="B6">
    <cfRule type="cellIs" dxfId="327" priority="15" operator="greaterThan">
      <formula>$B$12</formula>
    </cfRule>
  </conditionalFormatting>
  <conditionalFormatting sqref="B7">
    <cfRule type="cellIs" dxfId="326" priority="12" operator="greaterThan">
      <formula>$B$12</formula>
    </cfRule>
  </conditionalFormatting>
  <conditionalFormatting sqref="D10">
    <cfRule type="cellIs" dxfId="325" priority="1" operator="greaterThan">
      <formula>$B$12</formula>
    </cfRule>
  </conditionalFormatting>
  <conditionalFormatting sqref="D6">
    <cfRule type="cellIs" dxfId="324" priority="13" operator="greaterThan">
      <formula>$B$12</formula>
    </cfRule>
  </conditionalFormatting>
  <conditionalFormatting sqref="C7">
    <cfRule type="cellIs" dxfId="323" priority="11" operator="greaterThan">
      <formula>$B$12</formula>
    </cfRule>
  </conditionalFormatting>
  <conditionalFormatting sqref="D7">
    <cfRule type="cellIs" dxfId="322" priority="10" operator="greaterThan">
      <formula>$B$12</formula>
    </cfRule>
  </conditionalFormatting>
  <conditionalFormatting sqref="B8">
    <cfRule type="cellIs" dxfId="321" priority="9" operator="greaterThan">
      <formula>$B$12</formula>
    </cfRule>
  </conditionalFormatting>
  <conditionalFormatting sqref="B10">
    <cfRule type="cellIs" dxfId="320" priority="7" operator="greaterThan">
      <formula>$B$12</formula>
    </cfRule>
  </conditionalFormatting>
  <conditionalFormatting sqref="C8">
    <cfRule type="cellIs" dxfId="319" priority="6" operator="greaterThan">
      <formula>$B$12</formula>
    </cfRule>
  </conditionalFormatting>
  <conditionalFormatting sqref="D8">
    <cfRule type="cellIs" dxfId="318" priority="5" operator="greaterThan">
      <formula>$B$12</formula>
    </cfRule>
  </conditionalFormatting>
  <conditionalFormatting sqref="C9">
    <cfRule type="cellIs" dxfId="317" priority="4" operator="greaterThan">
      <formula>$B$12</formula>
    </cfRule>
  </conditionalFormatting>
  <conditionalFormatting sqref="D9">
    <cfRule type="cellIs" dxfId="316" priority="3" operator="greaterThan">
      <formula>$B$12</formula>
    </cfRule>
  </conditionalFormatting>
  <conditionalFormatting sqref="C10">
    <cfRule type="cellIs" dxfId="315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17.6640625" style="63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8" t="s">
        <v>73</v>
      </c>
      <c r="B3" s="405">
        <v>2</v>
      </c>
      <c r="C3" s="405"/>
      <c r="D3" s="406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2</v>
      </c>
      <c r="C5" s="104">
        <v>5</v>
      </c>
      <c r="D5" s="104">
        <v>8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326.59863237109045</v>
      </c>
      <c r="C6" s="106">
        <f>(((SQRT(C5)*$B$3)/SQRT(3))*$C$15)/$A6</f>
        <v>516.39777949432232</v>
      </c>
      <c r="D6" s="106">
        <f>(((SQRT(D5)*$B$3)/SQRT(3))*$C$15)/$A6</f>
        <v>653.19726474218089</v>
      </c>
      <c r="F6" s="107" t="str">
        <f>_1613b</f>
        <v>TeeJet</v>
      </c>
      <c r="G6" s="107" t="str">
        <f>_1613c</f>
        <v>AI/AIC 110 05</v>
      </c>
      <c r="H6" s="108">
        <f>_1613h</f>
        <v>2</v>
      </c>
      <c r="I6" s="109" t="str">
        <f t="shared" ref="I6:I16" si="0">IF(H6="","","bis")</f>
        <v>bis</v>
      </c>
      <c r="J6" s="110">
        <f>_1613i</f>
        <v>5</v>
      </c>
      <c r="K6" s="111">
        <f t="shared" ref="K6:K16" si="1">(((SQRT($H6)*$B$3)/SQRT(3))*60000)/($B$12*$B$15)</f>
        <v>9.7979589711327133</v>
      </c>
      <c r="L6" s="109" t="str">
        <f t="shared" ref="L6:L16" si="2">IF(K6="","","bis")</f>
        <v>bis</v>
      </c>
      <c r="M6" s="112">
        <f t="shared" ref="M6:M16" si="3">(((SQRT($J6)*$B$3)/SQRT(3))*60000)/($B$12*$B$15)</f>
        <v>15.49193338482967</v>
      </c>
      <c r="N6" s="110">
        <f>_1613j</f>
        <v>2</v>
      </c>
      <c r="O6" s="109" t="str">
        <f t="shared" ref="O6:O16" si="4">IF(N6="","","bis")</f>
        <v>bis</v>
      </c>
      <c r="P6" s="112">
        <f>_1613k</f>
        <v>3</v>
      </c>
      <c r="Q6" s="111">
        <f t="shared" ref="Q6:Q16" si="5">(((SQRT($N6)*$B$3)/SQRT(3))*60000)/($B$12*$B$15)</f>
        <v>9.7979589711327133</v>
      </c>
      <c r="R6" s="109" t="str">
        <f t="shared" ref="R6:R16" si="6">IF(Q6="","","bis")</f>
        <v>bis</v>
      </c>
      <c r="S6" s="112">
        <f t="shared" ref="S6:S16" si="7">(((SQRT($P6)*$B$3)/SQRT(3))*60000)/($B$12*$B$15)</f>
        <v>12</v>
      </c>
      <c r="T6" s="111">
        <f>_1613l</f>
        <v>2</v>
      </c>
      <c r="U6" s="109" t="str">
        <f t="shared" ref="U6:U16" si="8">IF(T6="","","bis")</f>
        <v>bis</v>
      </c>
      <c r="V6" s="110">
        <f>_1613m</f>
        <v>2.5</v>
      </c>
      <c r="W6" s="111">
        <f t="shared" ref="W6:W16" si="9">(((SQRT($T6)*$B$3)/SQRT(3))*60000)/($B$12*$B$15)</f>
        <v>9.7979589711327133</v>
      </c>
      <c r="X6" s="109" t="str">
        <f t="shared" ref="X6:X16" si="10">IF(W6="","","bis")</f>
        <v>bis</v>
      </c>
      <c r="Y6" s="110">
        <f t="shared" ref="Y6:Y16" si="11">(((SQRT($V6)*$B$3)/SQRT(3))*60000)/($B$12*$B$15)</f>
        <v>10.954451150103324</v>
      </c>
      <c r="Z6" s="113">
        <f>_1613f</f>
        <v>2</v>
      </c>
      <c r="AA6" s="109" t="str">
        <f t="shared" ref="AA6:AA16" si="12">IF(Z6="","","bis")</f>
        <v>bis</v>
      </c>
      <c r="AB6" s="114">
        <f>_1613g</f>
        <v>8</v>
      </c>
    </row>
    <row r="7" spans="1:28" ht="18.75" thickBot="1" x14ac:dyDescent="0.3">
      <c r="A7" s="135">
        <v>7</v>
      </c>
      <c r="B7" s="106">
        <f>(((SQRT(B5)*$B$3)/SQRT(3))*$C$15)/$A7</f>
        <v>279.94168488950612</v>
      </c>
      <c r="C7" s="106">
        <f>(((SQRT(C5)*$B$3)/SQRT(3))*$C$15)/$A7</f>
        <v>442.62666813799058</v>
      </c>
      <c r="D7" s="106">
        <f>(((SQRT(D5)*$B$3)/SQRT(3))*$C$15)/$A7</f>
        <v>559.88336977901224</v>
      </c>
      <c r="F7" s="107" t="str">
        <f>_2295b</f>
        <v>Agrotop</v>
      </c>
      <c r="G7" s="107" t="str">
        <f>_2295c</f>
        <v>AVI-UC 110 05</v>
      </c>
      <c r="H7" s="108">
        <f>_2295h</f>
        <v>3</v>
      </c>
      <c r="I7" s="109" t="str">
        <f t="shared" si="0"/>
        <v>bis</v>
      </c>
      <c r="J7" s="110">
        <f>_2295i</f>
        <v>5</v>
      </c>
      <c r="K7" s="111">
        <f t="shared" si="1"/>
        <v>12</v>
      </c>
      <c r="L7" s="109" t="str">
        <f t="shared" si="2"/>
        <v>bis</v>
      </c>
      <c r="M7" s="112">
        <f t="shared" si="3"/>
        <v>15.49193338482967</v>
      </c>
      <c r="N7" s="110">
        <f>_2295j</f>
        <v>3</v>
      </c>
      <c r="O7" s="109" t="str">
        <f t="shared" si="4"/>
        <v>bis</v>
      </c>
      <c r="P7" s="112">
        <f>_2295k</f>
        <v>5</v>
      </c>
      <c r="Q7" s="111">
        <f t="shared" si="5"/>
        <v>12</v>
      </c>
      <c r="R7" s="109" t="str">
        <f t="shared" si="6"/>
        <v>bis</v>
      </c>
      <c r="S7" s="112">
        <f t="shared" si="7"/>
        <v>15.49193338482967</v>
      </c>
      <c r="T7" s="111">
        <f>_2295l</f>
        <v>3</v>
      </c>
      <c r="U7" s="109" t="str">
        <f t="shared" si="8"/>
        <v>bis</v>
      </c>
      <c r="V7" s="110">
        <f>_2295m</f>
        <v>4</v>
      </c>
      <c r="W7" s="111">
        <f t="shared" si="9"/>
        <v>12</v>
      </c>
      <c r="X7" s="109" t="str">
        <f t="shared" si="10"/>
        <v>bis</v>
      </c>
      <c r="Y7" s="112">
        <f t="shared" si="11"/>
        <v>13.856406460551021</v>
      </c>
      <c r="Z7" s="113">
        <f>_2295f</f>
        <v>3</v>
      </c>
      <c r="AA7" s="109" t="str">
        <f t="shared" si="12"/>
        <v>bis</v>
      </c>
      <c r="AB7" s="114">
        <f>_2295g</f>
        <v>7</v>
      </c>
    </row>
    <row r="8" spans="1:28" ht="18.75" thickBot="1" x14ac:dyDescent="0.3">
      <c r="A8" s="135">
        <v>8</v>
      </c>
      <c r="B8" s="106">
        <f>(((SQRT(B5)*$B$3)/SQRT(3))*$C$15)/$A8</f>
        <v>244.94897427831785</v>
      </c>
      <c r="C8" s="106">
        <f>(((SQRT(C5)*$B$3)/SQRT(3))*1200)/$A8</f>
        <v>387.29833462074174</v>
      </c>
      <c r="D8" s="106">
        <f>(((SQRT(D5)*$B$3)/SQRT(3))*1200)/$A8</f>
        <v>489.8979485566357</v>
      </c>
      <c r="F8" s="107" t="str">
        <f>_1966b</f>
        <v>Lechler</v>
      </c>
      <c r="G8" s="107" t="str">
        <f>_1966c</f>
        <v>ID (3) 120 05</v>
      </c>
      <c r="H8" s="108">
        <f>_1966h</f>
        <v>2</v>
      </c>
      <c r="I8" s="109" t="str">
        <f t="shared" si="0"/>
        <v>bis</v>
      </c>
      <c r="J8" s="110">
        <f>_1966i</f>
        <v>5</v>
      </c>
      <c r="K8" s="111">
        <f t="shared" si="1"/>
        <v>9.7979589711327133</v>
      </c>
      <c r="L8" s="109" t="str">
        <f t="shared" si="2"/>
        <v>bis</v>
      </c>
      <c r="M8" s="112">
        <f t="shared" si="3"/>
        <v>15.49193338482967</v>
      </c>
      <c r="N8" s="110">
        <f>_1966j</f>
        <v>2</v>
      </c>
      <c r="O8" s="109" t="str">
        <f t="shared" si="4"/>
        <v>bis</v>
      </c>
      <c r="P8" s="112">
        <f>_1966k</f>
        <v>3</v>
      </c>
      <c r="Q8" s="111">
        <f t="shared" si="5"/>
        <v>9.7979589711327133</v>
      </c>
      <c r="R8" s="109" t="str">
        <f t="shared" si="6"/>
        <v>bis</v>
      </c>
      <c r="S8" s="112">
        <f t="shared" si="7"/>
        <v>12</v>
      </c>
      <c r="T8" s="111">
        <f>_1966l</f>
        <v>2</v>
      </c>
      <c r="U8" s="109" t="str">
        <f t="shared" si="8"/>
        <v>bis</v>
      </c>
      <c r="V8" s="110">
        <f>_1966m</f>
        <v>3</v>
      </c>
      <c r="W8" s="111">
        <f t="shared" si="9"/>
        <v>9.7979589711327133</v>
      </c>
      <c r="X8" s="109" t="str">
        <f t="shared" si="10"/>
        <v>bis</v>
      </c>
      <c r="Y8" s="112">
        <f t="shared" si="11"/>
        <v>12</v>
      </c>
      <c r="Z8" s="113">
        <f>_1966f</f>
        <v>2</v>
      </c>
      <c r="AA8" s="109" t="str">
        <f t="shared" si="12"/>
        <v>bis</v>
      </c>
      <c r="AB8" s="114">
        <f>_1966g</f>
        <v>8</v>
      </c>
    </row>
    <row r="9" spans="1:28" ht="18.75" thickBot="1" x14ac:dyDescent="0.3">
      <c r="A9" s="135">
        <v>9</v>
      </c>
      <c r="B9" s="106">
        <f>(((SQRT(B5)*$B$3)/SQRT(3))*$C$15)/$A9</f>
        <v>217.73242158072696</v>
      </c>
      <c r="C9" s="106">
        <f>(((SQRT(C5)*$B$3)/SQRT(3))*$C$15)/$A9</f>
        <v>344.26518632954821</v>
      </c>
      <c r="D9" s="106">
        <f>(((SQRT(D5)*$B$3)/SQRT(3))*$C$15)/$A9</f>
        <v>435.46484316145393</v>
      </c>
      <c r="F9" s="107" t="str">
        <f>_2207b</f>
        <v>Lechler</v>
      </c>
      <c r="G9" s="107" t="str">
        <f>_2207c</f>
        <v>PSULDCQ2005</v>
      </c>
      <c r="H9" s="108">
        <f>_2207h</f>
        <v>2</v>
      </c>
      <c r="I9" s="109" t="str">
        <f t="shared" si="0"/>
        <v>bis</v>
      </c>
      <c r="J9" s="112">
        <f>_2207i</f>
        <v>8</v>
      </c>
      <c r="K9" s="111">
        <f t="shared" si="1"/>
        <v>9.7979589711327133</v>
      </c>
      <c r="L9" s="109" t="str">
        <f t="shared" si="2"/>
        <v>bis</v>
      </c>
      <c r="M9" s="112">
        <f t="shared" si="3"/>
        <v>19.595917942265427</v>
      </c>
      <c r="N9" s="111">
        <f>_2207j</f>
        <v>2</v>
      </c>
      <c r="O9" s="109" t="str">
        <f t="shared" si="4"/>
        <v>bis</v>
      </c>
      <c r="P9" s="112">
        <f>_2207k</f>
        <v>8</v>
      </c>
      <c r="Q9" s="111">
        <f t="shared" si="5"/>
        <v>9.7979589711327133</v>
      </c>
      <c r="R9" s="109" t="str">
        <f t="shared" si="6"/>
        <v>bis</v>
      </c>
      <c r="S9" s="112">
        <f t="shared" si="7"/>
        <v>19.595917942265427</v>
      </c>
      <c r="T9" s="111">
        <f>_2207l</f>
        <v>2</v>
      </c>
      <c r="U9" s="109" t="str">
        <f t="shared" si="8"/>
        <v>bis</v>
      </c>
      <c r="V9" s="110">
        <f>_2207m</f>
        <v>4</v>
      </c>
      <c r="W9" s="111">
        <f t="shared" si="9"/>
        <v>9.7979589711327133</v>
      </c>
      <c r="X9" s="109" t="str">
        <f t="shared" si="10"/>
        <v>bis</v>
      </c>
      <c r="Y9" s="112">
        <f t="shared" si="11"/>
        <v>13.856406460551021</v>
      </c>
      <c r="Z9" s="113">
        <f>_2207f</f>
        <v>2</v>
      </c>
      <c r="AA9" s="109" t="str">
        <f t="shared" si="12"/>
        <v>bis</v>
      </c>
      <c r="AB9" s="114">
        <f>_2207g</f>
        <v>8</v>
      </c>
    </row>
    <row r="10" spans="1:28" ht="18.75" thickBot="1" x14ac:dyDescent="0.3">
      <c r="A10" s="136">
        <v>10</v>
      </c>
      <c r="B10" s="115">
        <f>(((SQRT(B5)*$B$3)/SQRT(3))*$C$15)/$A10</f>
        <v>195.95917942265427</v>
      </c>
      <c r="C10" s="115">
        <f>(((SQRT(C5)*$B$3)/SQRT(3))*$C$15)/$A10</f>
        <v>309.8386676965934</v>
      </c>
      <c r="D10" s="115">
        <f>(((SQRT(D5)*$B$3)/SQRT(3))*$C$15)/$A10</f>
        <v>391.91835884530855</v>
      </c>
      <c r="F10" s="107" t="str">
        <f>_1780b</f>
        <v>Hypro</v>
      </c>
      <c r="G10" s="107" t="str">
        <f>_1780c</f>
        <v>PSULDQ2005A</v>
      </c>
      <c r="H10" s="108">
        <f>_1780h</f>
        <v>2.5</v>
      </c>
      <c r="I10" s="109" t="str">
        <f t="shared" si="0"/>
        <v>bis</v>
      </c>
      <c r="J10" s="112">
        <f>_1780i</f>
        <v>8</v>
      </c>
      <c r="K10" s="111">
        <f t="shared" si="1"/>
        <v>10.954451150103324</v>
      </c>
      <c r="L10" s="109" t="str">
        <f t="shared" si="2"/>
        <v>bis</v>
      </c>
      <c r="M10" s="112">
        <f t="shared" si="3"/>
        <v>19.595917942265427</v>
      </c>
      <c r="N10" s="111">
        <f>_1780j</f>
        <v>2.5</v>
      </c>
      <c r="O10" s="109" t="str">
        <f t="shared" si="4"/>
        <v>bis</v>
      </c>
      <c r="P10" s="112">
        <f>_1780k</f>
        <v>8</v>
      </c>
      <c r="Q10" s="111">
        <f t="shared" si="5"/>
        <v>10.954451150103324</v>
      </c>
      <c r="R10" s="109" t="str">
        <f t="shared" si="6"/>
        <v>bis</v>
      </c>
      <c r="S10" s="112">
        <f t="shared" si="7"/>
        <v>19.595917942265427</v>
      </c>
      <c r="T10" s="111">
        <f>_1780l</f>
        <v>2.5</v>
      </c>
      <c r="U10" s="109" t="str">
        <f t="shared" si="8"/>
        <v>bis</v>
      </c>
      <c r="V10" s="112">
        <f>_1780m</f>
        <v>8</v>
      </c>
      <c r="W10" s="111">
        <f t="shared" si="9"/>
        <v>10.954451150103324</v>
      </c>
      <c r="X10" s="109" t="str">
        <f t="shared" si="10"/>
        <v>bis</v>
      </c>
      <c r="Y10" s="112">
        <f t="shared" si="11"/>
        <v>19.595917942265427</v>
      </c>
      <c r="Z10" s="113">
        <f>_1780f</f>
        <v>2.5</v>
      </c>
      <c r="AA10" s="109" t="str">
        <f t="shared" si="12"/>
        <v>bis</v>
      </c>
      <c r="AB10" s="114">
        <f>_1780g</f>
        <v>8</v>
      </c>
    </row>
    <row r="11" spans="1:28" ht="18.75" thickBot="1" x14ac:dyDescent="0.3">
      <c r="F11" s="107" t="str">
        <f>_1740b</f>
        <v>TeeJet</v>
      </c>
      <c r="G11" s="107" t="str">
        <f>_1740c</f>
        <v>TTI 110 05</v>
      </c>
      <c r="H11" s="108">
        <f>_1740h</f>
        <v>1</v>
      </c>
      <c r="I11" s="109" t="str">
        <f t="shared" si="0"/>
        <v>bis</v>
      </c>
      <c r="J11" s="112">
        <f>_1740i</f>
        <v>5</v>
      </c>
      <c r="K11" s="111">
        <f t="shared" si="1"/>
        <v>6.9282032302755105</v>
      </c>
      <c r="L11" s="109" t="str">
        <f t="shared" si="2"/>
        <v>bis</v>
      </c>
      <c r="M11" s="112">
        <f t="shared" si="3"/>
        <v>15.49193338482967</v>
      </c>
      <c r="N11" s="111">
        <f>_1740j</f>
        <v>1</v>
      </c>
      <c r="O11" s="109" t="str">
        <f t="shared" si="4"/>
        <v>bis</v>
      </c>
      <c r="P11" s="112">
        <f>_1740k</f>
        <v>3</v>
      </c>
      <c r="Q11" s="111">
        <f t="shared" si="5"/>
        <v>6.9282032302755105</v>
      </c>
      <c r="R11" s="109" t="str">
        <f t="shared" si="6"/>
        <v>bis</v>
      </c>
      <c r="S11" s="112">
        <f t="shared" si="7"/>
        <v>12</v>
      </c>
      <c r="T11" s="111">
        <f>_1740l</f>
        <v>1</v>
      </c>
      <c r="U11" s="109" t="str">
        <f t="shared" si="8"/>
        <v>bis</v>
      </c>
      <c r="V11" s="112">
        <f>_1740m</f>
        <v>2</v>
      </c>
      <c r="W11" s="111">
        <f t="shared" si="9"/>
        <v>6.9282032302755105</v>
      </c>
      <c r="X11" s="109" t="str">
        <f t="shared" si="10"/>
        <v>bis</v>
      </c>
      <c r="Y11" s="112">
        <f t="shared" si="11"/>
        <v>9.7979589711327133</v>
      </c>
      <c r="Z11" s="113">
        <f>_1740f</f>
        <v>1</v>
      </c>
      <c r="AA11" s="109" t="str">
        <f t="shared" si="12"/>
        <v>bis</v>
      </c>
      <c r="AB11" s="114">
        <f>_1740g</f>
        <v>7</v>
      </c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  <c r="F12" s="107" t="str">
        <f>_b1780b</f>
        <v>Hypro</v>
      </c>
      <c r="G12" s="107" t="str">
        <f>_b1780c</f>
        <v>ULD 05</v>
      </c>
      <c r="H12" s="108">
        <f>_b1780h</f>
        <v>2.5</v>
      </c>
      <c r="I12" s="109" t="str">
        <f t="shared" si="0"/>
        <v>bis</v>
      </c>
      <c r="J12" s="112">
        <f>_b1780i</f>
        <v>8</v>
      </c>
      <c r="K12" s="111">
        <f t="shared" si="1"/>
        <v>10.954451150103324</v>
      </c>
      <c r="L12" s="109" t="str">
        <f t="shared" si="2"/>
        <v>bis</v>
      </c>
      <c r="M12" s="112">
        <f t="shared" si="3"/>
        <v>19.595917942265427</v>
      </c>
      <c r="N12" s="111">
        <f>_b1780j</f>
        <v>2.5</v>
      </c>
      <c r="O12" s="109" t="str">
        <f t="shared" si="4"/>
        <v>bis</v>
      </c>
      <c r="P12" s="112">
        <f>_b1780k</f>
        <v>8</v>
      </c>
      <c r="Q12" s="111">
        <f t="shared" si="5"/>
        <v>10.954451150103324</v>
      </c>
      <c r="R12" s="109" t="str">
        <f t="shared" si="6"/>
        <v>bis</v>
      </c>
      <c r="S12" s="112">
        <f t="shared" si="7"/>
        <v>19.595917942265427</v>
      </c>
      <c r="T12" s="111">
        <f>_b1780l</f>
        <v>2.5</v>
      </c>
      <c r="U12" s="109" t="str">
        <f t="shared" si="8"/>
        <v>bis</v>
      </c>
      <c r="V12" s="112">
        <f>_b1780m</f>
        <v>8</v>
      </c>
      <c r="W12" s="111">
        <f t="shared" si="9"/>
        <v>10.954451150103324</v>
      </c>
      <c r="X12" s="109" t="str">
        <f t="shared" si="10"/>
        <v>bis</v>
      </c>
      <c r="Y12" s="112">
        <f t="shared" si="11"/>
        <v>19.595917942265427</v>
      </c>
      <c r="Z12" s="113">
        <f>_b1780f</f>
        <v>2.5</v>
      </c>
      <c r="AA12" s="109" t="str">
        <f t="shared" si="12"/>
        <v>bis</v>
      </c>
      <c r="AB12" s="114">
        <f>_b1780g</f>
        <v>8</v>
      </c>
    </row>
    <row r="13" spans="1:28" ht="18.75" thickBot="1" x14ac:dyDescent="0.3">
      <c r="A13" s="117" t="s">
        <v>61</v>
      </c>
      <c r="B13" s="120">
        <f>POWER(((SQRT(3)*$C$13)/$B$3),2)</f>
        <v>0.52083333333333326</v>
      </c>
      <c r="C13" s="124">
        <f>(B12*B14*B15)/60000</f>
        <v>0.83333333333333337</v>
      </c>
      <c r="D13" s="120">
        <f>POWER(((SQRT(3)*$E$13)/$B$3),2)</f>
        <v>6.3802083333333313</v>
      </c>
      <c r="E13" s="124">
        <f>(D12*D14*D15)/60000</f>
        <v>2.9166666666666665</v>
      </c>
      <c r="F13" s="107" t="str">
        <f>_2185b</f>
        <v>Wilger</v>
      </c>
      <c r="G13" s="107" t="str">
        <f>_2185c</f>
        <v>UR 110 05</v>
      </c>
      <c r="H13" s="108">
        <f>_2185h</f>
        <v>2</v>
      </c>
      <c r="I13" s="109" t="str">
        <f t="shared" si="0"/>
        <v>bis</v>
      </c>
      <c r="J13" s="112">
        <f>_2185i</f>
        <v>6</v>
      </c>
      <c r="K13" s="111">
        <f t="shared" si="1"/>
        <v>9.7979589711327133</v>
      </c>
      <c r="L13" s="109" t="str">
        <f t="shared" si="2"/>
        <v>bis</v>
      </c>
      <c r="M13" s="112">
        <f t="shared" si="3"/>
        <v>16.970562748477139</v>
      </c>
      <c r="N13" s="111">
        <f>_2185j</f>
        <v>2</v>
      </c>
      <c r="O13" s="109" t="str">
        <f t="shared" si="4"/>
        <v>bis</v>
      </c>
      <c r="P13" s="112">
        <f>_2185k</f>
        <v>4</v>
      </c>
      <c r="Q13" s="111">
        <f t="shared" si="5"/>
        <v>9.7979589711327133</v>
      </c>
      <c r="R13" s="109" t="str">
        <f t="shared" si="6"/>
        <v>bis</v>
      </c>
      <c r="S13" s="112">
        <f t="shared" si="7"/>
        <v>13.856406460551021</v>
      </c>
      <c r="T13" s="111">
        <f>_2185l</f>
        <v>2</v>
      </c>
      <c r="U13" s="109" t="str">
        <f t="shared" si="8"/>
        <v>bis</v>
      </c>
      <c r="V13" s="112">
        <f>_2185m</f>
        <v>2</v>
      </c>
      <c r="W13" s="111">
        <f t="shared" si="9"/>
        <v>9.7979589711327133</v>
      </c>
      <c r="X13" s="109" t="str">
        <f t="shared" si="10"/>
        <v>bis</v>
      </c>
      <c r="Y13" s="112">
        <f t="shared" si="11"/>
        <v>9.7979589711327133</v>
      </c>
      <c r="Z13" s="113">
        <f>_2185f</f>
        <v>2</v>
      </c>
      <c r="AA13" s="109" t="str">
        <f t="shared" si="12"/>
        <v>bis</v>
      </c>
      <c r="AB13" s="114">
        <f>_2185g</f>
        <v>6</v>
      </c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  <c r="F14" s="107"/>
      <c r="G14" s="107"/>
      <c r="H14" s="108"/>
      <c r="I14" s="109" t="str">
        <f t="shared" si="0"/>
        <v/>
      </c>
      <c r="J14" s="112"/>
      <c r="K14" s="111">
        <f t="shared" si="1"/>
        <v>0</v>
      </c>
      <c r="L14" s="109" t="str">
        <f t="shared" si="2"/>
        <v>bis</v>
      </c>
      <c r="M14" s="112">
        <f t="shared" si="3"/>
        <v>0</v>
      </c>
      <c r="N14" s="111"/>
      <c r="O14" s="109" t="str">
        <f t="shared" si="4"/>
        <v/>
      </c>
      <c r="P14" s="112"/>
      <c r="Q14" s="111">
        <f t="shared" si="5"/>
        <v>0</v>
      </c>
      <c r="R14" s="109" t="str">
        <f t="shared" si="6"/>
        <v>bis</v>
      </c>
      <c r="S14" s="112">
        <f t="shared" si="7"/>
        <v>0</v>
      </c>
      <c r="T14" s="111"/>
      <c r="U14" s="109" t="str">
        <f t="shared" si="8"/>
        <v/>
      </c>
      <c r="V14" s="112"/>
      <c r="W14" s="111">
        <f t="shared" si="9"/>
        <v>0</v>
      </c>
      <c r="X14" s="109" t="str">
        <f t="shared" si="10"/>
        <v>bis</v>
      </c>
      <c r="Y14" s="112">
        <f t="shared" si="11"/>
        <v>0</v>
      </c>
      <c r="Z14" s="113"/>
      <c r="AA14" s="109" t="str">
        <f t="shared" si="12"/>
        <v/>
      </c>
      <c r="AB14" s="114"/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  <c r="F15" s="107"/>
      <c r="G15" s="107"/>
      <c r="H15" s="108"/>
      <c r="I15" s="109" t="str">
        <f t="shared" si="0"/>
        <v/>
      </c>
      <c r="J15" s="112"/>
      <c r="K15" s="111">
        <f t="shared" si="1"/>
        <v>0</v>
      </c>
      <c r="L15" s="109" t="str">
        <f t="shared" si="2"/>
        <v>bis</v>
      </c>
      <c r="M15" s="112">
        <f t="shared" si="3"/>
        <v>0</v>
      </c>
      <c r="N15" s="111"/>
      <c r="O15" s="109" t="str">
        <f t="shared" si="4"/>
        <v/>
      </c>
      <c r="P15" s="112"/>
      <c r="Q15" s="111">
        <f t="shared" si="5"/>
        <v>0</v>
      </c>
      <c r="R15" s="109" t="str">
        <f t="shared" si="6"/>
        <v>bis</v>
      </c>
      <c r="S15" s="112">
        <f t="shared" si="7"/>
        <v>0</v>
      </c>
      <c r="T15" s="111"/>
      <c r="U15" s="109" t="str">
        <f t="shared" si="8"/>
        <v/>
      </c>
      <c r="V15" s="112"/>
      <c r="W15" s="111">
        <f t="shared" si="9"/>
        <v>0</v>
      </c>
      <c r="X15" s="109" t="str">
        <f t="shared" si="10"/>
        <v>bis</v>
      </c>
      <c r="Y15" s="112">
        <f t="shared" si="11"/>
        <v>0</v>
      </c>
      <c r="Z15" s="113"/>
      <c r="AA15" s="109" t="str">
        <f t="shared" si="12"/>
        <v/>
      </c>
      <c r="AB15" s="114"/>
    </row>
    <row r="16" spans="1:28" ht="18.75" thickBot="1" x14ac:dyDescent="0.3">
      <c r="F16" s="107"/>
      <c r="G16" s="107"/>
      <c r="H16" s="108"/>
      <c r="I16" s="109" t="str">
        <f t="shared" si="0"/>
        <v/>
      </c>
      <c r="J16" s="112"/>
      <c r="K16" s="111">
        <f t="shared" si="1"/>
        <v>0</v>
      </c>
      <c r="L16" s="109" t="str">
        <f t="shared" si="2"/>
        <v>bis</v>
      </c>
      <c r="M16" s="112">
        <f t="shared" si="3"/>
        <v>0</v>
      </c>
      <c r="N16" s="111"/>
      <c r="O16" s="109" t="str">
        <f t="shared" si="4"/>
        <v/>
      </c>
      <c r="P16" s="112"/>
      <c r="Q16" s="111">
        <f t="shared" si="5"/>
        <v>0</v>
      </c>
      <c r="R16" s="109" t="str">
        <f t="shared" si="6"/>
        <v>bis</v>
      </c>
      <c r="S16" s="112">
        <f t="shared" si="7"/>
        <v>0</v>
      </c>
      <c r="T16" s="111"/>
      <c r="U16" s="109" t="str">
        <f t="shared" si="8"/>
        <v/>
      </c>
      <c r="V16" s="112"/>
      <c r="W16" s="111">
        <f t="shared" si="9"/>
        <v>0</v>
      </c>
      <c r="X16" s="109" t="str">
        <f t="shared" si="10"/>
        <v>bis</v>
      </c>
      <c r="Y16" s="112">
        <f t="shared" si="11"/>
        <v>0</v>
      </c>
      <c r="Z16" s="113"/>
      <c r="AA16" s="109" t="str">
        <f t="shared" si="12"/>
        <v/>
      </c>
      <c r="AB16" s="114"/>
    </row>
  </sheetData>
  <sheetProtection algorithmName="SHA-512" hashValue="EVGQTx6kT21EcvWGxLqVEVAQskMtyyKYJUmlJ4yk28ItcOFipzj2ttfafyMWuRdjTBqPQGp7us2FSYZtbB4zYQ==" saltValue="wq3peo6jiuVYnteP4YUba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314" priority="8" operator="greaterThan">
      <formula>$B$12</formula>
    </cfRule>
  </conditionalFormatting>
  <conditionalFormatting sqref="C6">
    <cfRule type="cellIs" dxfId="313" priority="14" operator="greaterThan">
      <formula>$B$12</formula>
    </cfRule>
  </conditionalFormatting>
  <conditionalFormatting sqref="B6">
    <cfRule type="cellIs" dxfId="312" priority="15" operator="greaterThan">
      <formula>$B$12</formula>
    </cfRule>
  </conditionalFormatting>
  <conditionalFormatting sqref="B7">
    <cfRule type="cellIs" dxfId="311" priority="12" operator="greaterThan">
      <formula>$B$12</formula>
    </cfRule>
  </conditionalFormatting>
  <conditionalFormatting sqref="D10">
    <cfRule type="cellIs" dxfId="310" priority="1" operator="greaterThan">
      <formula>$B$12</formula>
    </cfRule>
  </conditionalFormatting>
  <conditionalFormatting sqref="D6">
    <cfRule type="cellIs" dxfId="309" priority="13" operator="greaterThan">
      <formula>$B$12</formula>
    </cfRule>
  </conditionalFormatting>
  <conditionalFormatting sqref="C7">
    <cfRule type="cellIs" dxfId="308" priority="11" operator="greaterThan">
      <formula>$B$12</formula>
    </cfRule>
  </conditionalFormatting>
  <conditionalFormatting sqref="D7">
    <cfRule type="cellIs" dxfId="307" priority="10" operator="greaterThan">
      <formula>$B$12</formula>
    </cfRule>
  </conditionalFormatting>
  <conditionalFormatting sqref="B8">
    <cfRule type="cellIs" dxfId="306" priority="9" operator="greaterThan">
      <formula>$B$12</formula>
    </cfRule>
  </conditionalFormatting>
  <conditionalFormatting sqref="B10">
    <cfRule type="cellIs" dxfId="305" priority="7" operator="greaterThan">
      <formula>$B$12</formula>
    </cfRule>
  </conditionalFormatting>
  <conditionalFormatting sqref="C8">
    <cfRule type="cellIs" dxfId="304" priority="6" operator="greaterThan">
      <formula>$B$12</formula>
    </cfRule>
  </conditionalFormatting>
  <conditionalFormatting sqref="D8">
    <cfRule type="cellIs" dxfId="303" priority="5" operator="greaterThan">
      <formula>$B$12</formula>
    </cfRule>
  </conditionalFormatting>
  <conditionalFormatting sqref="C9">
    <cfRule type="cellIs" dxfId="302" priority="4" operator="greaterThan">
      <formula>$B$12</formula>
    </cfRule>
  </conditionalFormatting>
  <conditionalFormatting sqref="D9">
    <cfRule type="cellIs" dxfId="301" priority="3" operator="greaterThan">
      <formula>$B$12</formula>
    </cfRule>
  </conditionalFormatting>
  <conditionalFormatting sqref="C10">
    <cfRule type="cellIs" dxfId="300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20.4414062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8" t="s">
        <v>73</v>
      </c>
      <c r="B3" s="405">
        <v>2</v>
      </c>
      <c r="C3" s="405"/>
      <c r="D3" s="406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3</v>
      </c>
      <c r="D5" s="104">
        <v>6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230.94010767585033</v>
      </c>
      <c r="C6" s="106">
        <f>(((SQRT(C5)*$B$3)/SQRT(3))*$C$15)/$A6</f>
        <v>400</v>
      </c>
      <c r="D6" s="106">
        <f>(((SQRT(D5)*$B$3)/SQRT(3))*$C$15)/$A6</f>
        <v>565.68542494923793</v>
      </c>
      <c r="F6" s="107" t="str">
        <f>_1884b</f>
        <v>Lechler</v>
      </c>
      <c r="G6" s="107" t="str">
        <f>_1884c</f>
        <v>IDKT 120 05</v>
      </c>
      <c r="H6" s="108">
        <f>_1884h</f>
        <v>1</v>
      </c>
      <c r="I6" s="109" t="str">
        <f>IF(H6="","","bis")</f>
        <v>bis</v>
      </c>
      <c r="J6" s="110">
        <f>_1884i</f>
        <v>3</v>
      </c>
      <c r="K6" s="111">
        <f>(((SQRT($H6)*$B$3)/SQRT(3))*60000)/($B$12*$B$15)</f>
        <v>6.9282032302755105</v>
      </c>
      <c r="L6" s="109" t="str">
        <f>IF(K6="","","bis")</f>
        <v>bis</v>
      </c>
      <c r="M6" s="112">
        <f>(((SQRT($J6)*$B$3)/SQRT(3))*60000)/($B$12*$B$15)</f>
        <v>12</v>
      </c>
      <c r="N6" s="110">
        <f>_1884j</f>
        <v>1</v>
      </c>
      <c r="O6" s="109" t="str">
        <f>IF(N6="","","bis")</f>
        <v>bis</v>
      </c>
      <c r="P6" s="112">
        <f>_1884k</f>
        <v>1.5</v>
      </c>
      <c r="Q6" s="111">
        <f>(((SQRT($N6)*$B$3)/SQRT(3))*60000)/($B$12*$B$15)</f>
        <v>6.9282032302755105</v>
      </c>
      <c r="R6" s="109" t="str">
        <f>IF(Q6="","","bis")</f>
        <v>bis</v>
      </c>
      <c r="S6" s="112">
        <f>(((SQRT($P6)*$B$3)/SQRT(3))*60000)/($B$12*$B$15)</f>
        <v>8.4852813742385695</v>
      </c>
      <c r="T6" s="111">
        <f>_1884l</f>
        <v>1</v>
      </c>
      <c r="U6" s="109" t="str">
        <f>IF(T6="","","bis")</f>
        <v>bis</v>
      </c>
      <c r="V6" s="110">
        <f>_1884m</f>
        <v>1</v>
      </c>
      <c r="W6" s="111">
        <f>(((SQRT($T6)*$B$3)/SQRT(3))*60000)/($B$12*$B$15)</f>
        <v>6.9282032302755105</v>
      </c>
      <c r="X6" s="109" t="str">
        <f>IF(W6="","","bis")</f>
        <v>bis</v>
      </c>
      <c r="Y6" s="110">
        <f>(((SQRT($V6)*$B$3)/SQRT(3))*60000)/($B$12*$B$15)</f>
        <v>6.9282032302755105</v>
      </c>
      <c r="Z6" s="113">
        <f>_1884f</f>
        <v>1</v>
      </c>
      <c r="AA6" s="109" t="str">
        <f>IF(Z6="","","bis")</f>
        <v>bis</v>
      </c>
      <c r="AB6" s="114">
        <f>_1884g</f>
        <v>6</v>
      </c>
    </row>
    <row r="7" spans="1:28" ht="18.75" thickBot="1" x14ac:dyDescent="0.3">
      <c r="A7" s="135">
        <v>7</v>
      </c>
      <c r="B7" s="106">
        <f>(((SQRT(B5)*$B$3)/SQRT(3))*$C$15)/$A7</f>
        <v>197.94866372215742</v>
      </c>
      <c r="C7" s="106">
        <f>(((SQRT(C5)*$B$3)/SQRT(3))*$C$15)/$A7</f>
        <v>342.85714285714283</v>
      </c>
      <c r="D7" s="106">
        <f>(((SQRT(D5)*$B$3)/SQRT(3))*$C$15)/$A7</f>
        <v>484.87322138506113</v>
      </c>
      <c r="F7" s="107" t="str">
        <f>_1836b</f>
        <v>Lechler</v>
      </c>
      <c r="G7" s="107" t="str">
        <f>_1836c</f>
        <v>IDKT 120 05 C</v>
      </c>
      <c r="H7" s="108">
        <f>_1836h</f>
        <v>1</v>
      </c>
      <c r="I7" s="109" t="str">
        <f>IF(H7="","","bis")</f>
        <v>bis</v>
      </c>
      <c r="J7" s="112">
        <f>_1836i</f>
        <v>4</v>
      </c>
      <c r="K7" s="111">
        <f>(((SQRT($H7)*$B$3)/SQRT(3))*60000)/($B$12*$B$15)</f>
        <v>6.9282032302755105</v>
      </c>
      <c r="L7" s="109" t="str">
        <f>IF(K7="","","bis")</f>
        <v>bis</v>
      </c>
      <c r="M7" s="112">
        <f>(((SQRT($J7)*$B$3)/SQRT(3))*60000)/($B$12*$B$15)</f>
        <v>13.856406460551021</v>
      </c>
      <c r="N7" s="111">
        <f>_1836j</f>
        <v>1</v>
      </c>
      <c r="O7" s="109" t="str">
        <f>IF(N7="","","bis")</f>
        <v>bis</v>
      </c>
      <c r="P7" s="112">
        <f>_1836k</f>
        <v>1.5</v>
      </c>
      <c r="Q7" s="111">
        <f>(((SQRT($N7)*$B$3)/SQRT(3))*60000)/($B$12*$B$15)</f>
        <v>6.9282032302755105</v>
      </c>
      <c r="R7" s="109" t="str">
        <f>IF(Q7="","","bis")</f>
        <v>bis</v>
      </c>
      <c r="S7" s="112">
        <f>(((SQRT($P7)*$B$3)/SQRT(3))*60000)/($B$12*$B$15)</f>
        <v>8.4852813742385695</v>
      </c>
      <c r="T7" s="111">
        <f>_1836l</f>
        <v>1</v>
      </c>
      <c r="U7" s="109" t="str">
        <f>IF(T7="","","bis")</f>
        <v>bis</v>
      </c>
      <c r="V7" s="112">
        <f>_1836m</f>
        <v>1</v>
      </c>
      <c r="W7" s="111">
        <f>(((SQRT($T7)*$B$3)/SQRT(3))*60000)/($B$12*$B$15)</f>
        <v>6.9282032302755105</v>
      </c>
      <c r="X7" s="109" t="str">
        <f>IF(W7="","","bis")</f>
        <v>bis</v>
      </c>
      <c r="Y7" s="112">
        <f>(((SQRT($V7)*$B$3)/SQRT(3))*60000)/($B$12*$B$15)</f>
        <v>6.9282032302755105</v>
      </c>
      <c r="Z7" s="113">
        <f>_1836f</f>
        <v>1</v>
      </c>
      <c r="AA7" s="109" t="str">
        <f>IF(Z7="","","bis")</f>
        <v>bis</v>
      </c>
      <c r="AB7" s="114">
        <f>_1836g</f>
        <v>6</v>
      </c>
    </row>
    <row r="8" spans="1:28" ht="18.75" thickBot="1" x14ac:dyDescent="0.3">
      <c r="A8" s="135">
        <v>8</v>
      </c>
      <c r="B8" s="106">
        <f>(((SQRT(B5)*$B$3)/SQRT(3))*$C$15)/$A8</f>
        <v>173.20508075688775</v>
      </c>
      <c r="C8" s="106">
        <f>(((SQRT(C5)*$B$3)/SQRT(3))*1200)/$A8</f>
        <v>300</v>
      </c>
      <c r="D8" s="106">
        <f>(((SQRT(D5)*$B$3)/SQRT(3))*1200)/$A8</f>
        <v>424.26406871192847</v>
      </c>
      <c r="F8" s="107" t="str">
        <f>_1909b</f>
        <v>Hardi</v>
      </c>
      <c r="G8" s="107" t="str">
        <f>_1909c</f>
        <v>MiniDrift Duo 110 05</v>
      </c>
      <c r="H8" s="108">
        <f>_1909h</f>
        <v>1</v>
      </c>
      <c r="I8" s="109" t="str">
        <f>IF(H8="","","bis")</f>
        <v>bis</v>
      </c>
      <c r="J8" s="112">
        <f>_1909i</f>
        <v>3</v>
      </c>
      <c r="K8" s="111">
        <f>(((SQRT($H8)*$B$3)/SQRT(3))*60000)/($B$12*$B$15)</f>
        <v>6.9282032302755105</v>
      </c>
      <c r="L8" s="109" t="str">
        <f>IF(K8="","","bis")</f>
        <v>bis</v>
      </c>
      <c r="M8" s="112">
        <f>(((SQRT($J8)*$B$3)/SQRT(3))*60000)/($B$12*$B$15)</f>
        <v>12</v>
      </c>
      <c r="N8" s="111">
        <f>_1909j</f>
        <v>1</v>
      </c>
      <c r="O8" s="109" t="str">
        <f>IF(N8="","","bis")</f>
        <v>bis</v>
      </c>
      <c r="P8" s="112">
        <f>_1909k</f>
        <v>1.5</v>
      </c>
      <c r="Q8" s="111">
        <f>(((SQRT($N8)*$B$3)/SQRT(3))*60000)/($B$12*$B$15)</f>
        <v>6.9282032302755105</v>
      </c>
      <c r="R8" s="109" t="str">
        <f>IF(Q8="","","bis")</f>
        <v>bis</v>
      </c>
      <c r="S8" s="112">
        <f>(((SQRT($P8)*$B$3)/SQRT(3))*60000)/($B$12*$B$15)</f>
        <v>8.4852813742385695</v>
      </c>
      <c r="T8" s="111">
        <f>_1909l</f>
        <v>1</v>
      </c>
      <c r="U8" s="109" t="str">
        <f>IF(T8="","","bis")</f>
        <v>bis</v>
      </c>
      <c r="V8" s="112">
        <f>_1909m</f>
        <v>1</v>
      </c>
      <c r="W8" s="111">
        <f>(((SQRT($T8)*$B$3)/SQRT(3))*60000)/($B$12*$B$15)</f>
        <v>6.9282032302755105</v>
      </c>
      <c r="X8" s="109" t="str">
        <f>IF(W8="","","bis")</f>
        <v>bis</v>
      </c>
      <c r="Y8" s="112">
        <f>(((SQRT($V8)*$B$3)/SQRT(3))*60000)/($B$12*$B$15)</f>
        <v>6.9282032302755105</v>
      </c>
      <c r="Z8" s="113">
        <f>_1909f</f>
        <v>1</v>
      </c>
      <c r="AA8" s="109" t="str">
        <f>IF(Z8="","","bis")</f>
        <v>bis</v>
      </c>
      <c r="AB8" s="114">
        <f>_1909g</f>
        <v>6</v>
      </c>
    </row>
    <row r="9" spans="1:28" ht="18.75" thickBot="1" x14ac:dyDescent="0.3">
      <c r="A9" s="135">
        <v>9</v>
      </c>
      <c r="B9" s="106">
        <f>(((SQRT(B5)*$B$3)/SQRT(3))*$C$15)/$A9</f>
        <v>153.96007178390022</v>
      </c>
      <c r="C9" s="106">
        <f>(((SQRT(C5)*$B$3)/SQRT(3))*$C$15)/$A9</f>
        <v>266.66666666666669</v>
      </c>
      <c r="D9" s="106">
        <f>(((SQRT(D5)*$B$3)/SQRT(3))*$C$15)/$A9</f>
        <v>377.1236166328253</v>
      </c>
      <c r="F9" s="107" t="str">
        <f>_2213b</f>
        <v>Lechler</v>
      </c>
      <c r="G9" s="107" t="str">
        <f>_2213c</f>
        <v>PSGATCQ2005</v>
      </c>
      <c r="H9" s="108">
        <f>_2213h</f>
        <v>1</v>
      </c>
      <c r="I9" s="109" t="str">
        <f>IF(H9="","","bis")</f>
        <v>bis</v>
      </c>
      <c r="J9" s="112">
        <f>_2213i</f>
        <v>4</v>
      </c>
      <c r="K9" s="111">
        <f>(((SQRT($H9)*$B$3)/SQRT(3))*60000)/($B$12*$B$15)</f>
        <v>6.9282032302755105</v>
      </c>
      <c r="L9" s="109" t="str">
        <f>IF(K9="","","bis")</f>
        <v>bis</v>
      </c>
      <c r="M9" s="112">
        <f>(((SQRT($J9)*$B$3)/SQRT(3))*60000)/($B$12*$B$15)</f>
        <v>13.856406460551021</v>
      </c>
      <c r="N9" s="111">
        <f>_2213j</f>
        <v>1</v>
      </c>
      <c r="O9" s="109" t="str">
        <f>IF(N9="","","bis")</f>
        <v>bis</v>
      </c>
      <c r="P9" s="112">
        <f>_2213k</f>
        <v>1.5</v>
      </c>
      <c r="Q9" s="111">
        <f>(((SQRT($N9)*$B$3)/SQRT(3))*60000)/($B$12*$B$15)</f>
        <v>6.9282032302755105</v>
      </c>
      <c r="R9" s="109" t="str">
        <f>IF(Q9="","","bis")</f>
        <v>bis</v>
      </c>
      <c r="S9" s="112">
        <f>(((SQRT($P9)*$B$3)/SQRT(3))*60000)/($B$12*$B$15)</f>
        <v>8.4852813742385695</v>
      </c>
      <c r="T9" s="111">
        <f>_2213l</f>
        <v>1</v>
      </c>
      <c r="U9" s="109" t="str">
        <f>IF(T9="","","bis")</f>
        <v>bis</v>
      </c>
      <c r="V9" s="110">
        <f>_2213m</f>
        <v>1</v>
      </c>
      <c r="W9" s="111">
        <f>(((SQRT($T9)*$B$3)/SQRT(3))*60000)/($B$12*$B$15)</f>
        <v>6.9282032302755105</v>
      </c>
      <c r="X9" s="109" t="str">
        <f>IF(W9="","","bis")</f>
        <v>bis</v>
      </c>
      <c r="Y9" s="112">
        <f>(((SQRT($V9)*$B$3)/SQRT(3))*60000)/($B$12*$B$15)</f>
        <v>6.9282032302755105</v>
      </c>
      <c r="Z9" s="113">
        <f>_2213f</f>
        <v>1</v>
      </c>
      <c r="AA9" s="109" t="str">
        <f>IF(Z9="","","bis")</f>
        <v>bis</v>
      </c>
      <c r="AB9" s="114">
        <f>_2213g</f>
        <v>6</v>
      </c>
    </row>
    <row r="10" spans="1:28" ht="18.75" thickBot="1" x14ac:dyDescent="0.3">
      <c r="A10" s="136">
        <v>10</v>
      </c>
      <c r="B10" s="115">
        <f>(((SQRT(B5)*$B$3)/SQRT(3))*$C$15)/$A10</f>
        <v>138.5640646055102</v>
      </c>
      <c r="C10" s="115">
        <f>(((SQRT(C5)*$B$3)/SQRT(3))*$C$15)/$A10</f>
        <v>240</v>
      </c>
      <c r="D10" s="115">
        <f>(((SQRT(D5)*$B$3)/SQRT(3))*$C$15)/$A10</f>
        <v>339.41125496954277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0.52083333333333326</v>
      </c>
      <c r="C13" s="124">
        <f>(B12*B14*B15)/60000</f>
        <v>0.83333333333333337</v>
      </c>
      <c r="D13" s="120">
        <f>POWER(((SQRT(3)*$E$13)/$B$3),2)</f>
        <v>6.3802083333333313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nXpLEozeiiXv0+tcwnOB+dJSI8C7kAq/J7BwzTtf/DR6IXBRUUuvDRgPFgAwQjWqFU4x0+gCXXN/oSqdMmtVRQ==" saltValue="VPa0EIj1pDcHVvFoxy5g3w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299" priority="8" operator="greaterThan">
      <formula>$B$12</formula>
    </cfRule>
  </conditionalFormatting>
  <conditionalFormatting sqref="C6">
    <cfRule type="cellIs" dxfId="298" priority="14" operator="greaterThan">
      <formula>$B$12</formula>
    </cfRule>
  </conditionalFormatting>
  <conditionalFormatting sqref="B6">
    <cfRule type="cellIs" dxfId="297" priority="15" operator="greaterThan">
      <formula>$B$12</formula>
    </cfRule>
  </conditionalFormatting>
  <conditionalFormatting sqref="B7">
    <cfRule type="cellIs" dxfId="296" priority="12" operator="greaterThan">
      <formula>$B$12</formula>
    </cfRule>
  </conditionalFormatting>
  <conditionalFormatting sqref="D10">
    <cfRule type="cellIs" dxfId="295" priority="1" operator="greaterThan">
      <formula>$B$12</formula>
    </cfRule>
  </conditionalFormatting>
  <conditionalFormatting sqref="D6">
    <cfRule type="cellIs" dxfId="294" priority="13" operator="greaterThan">
      <formula>$B$12</formula>
    </cfRule>
  </conditionalFormatting>
  <conditionalFormatting sqref="C7">
    <cfRule type="cellIs" dxfId="293" priority="11" operator="greaterThan">
      <formula>$B$12</formula>
    </cfRule>
  </conditionalFormatting>
  <conditionalFormatting sqref="D7">
    <cfRule type="cellIs" dxfId="292" priority="10" operator="greaterThan">
      <formula>$B$12</formula>
    </cfRule>
  </conditionalFormatting>
  <conditionalFormatting sqref="B8">
    <cfRule type="cellIs" dxfId="291" priority="9" operator="greaterThan">
      <formula>$B$12</formula>
    </cfRule>
  </conditionalFormatting>
  <conditionalFormatting sqref="B10">
    <cfRule type="cellIs" dxfId="290" priority="7" operator="greaterThan">
      <formula>$B$12</formula>
    </cfRule>
  </conditionalFormatting>
  <conditionalFormatting sqref="C8">
    <cfRule type="cellIs" dxfId="289" priority="6" operator="greaterThan">
      <formula>$B$12</formula>
    </cfRule>
  </conditionalFormatting>
  <conditionalFormatting sqref="D8">
    <cfRule type="cellIs" dxfId="288" priority="5" operator="greaterThan">
      <formula>$B$12</formula>
    </cfRule>
  </conditionalFormatting>
  <conditionalFormatting sqref="C9">
    <cfRule type="cellIs" dxfId="287" priority="4" operator="greaterThan">
      <formula>$B$12</formula>
    </cfRule>
  </conditionalFormatting>
  <conditionalFormatting sqref="D9">
    <cfRule type="cellIs" dxfId="286" priority="3" operator="greaterThan">
      <formula>$B$12</formula>
    </cfRule>
  </conditionalFormatting>
  <conditionalFormatting sqref="C10">
    <cfRule type="cellIs" dxfId="285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zoomScale="80" zoomScaleNormal="80" workbookViewId="0">
      <selection activeCell="A3" sqref="A3:D3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20.21875" style="63" bestFit="1" customWidth="1"/>
    <col min="8" max="14" width="5.21875" style="63" customWidth="1"/>
    <col min="15" max="20" width="5.21875" style="100" customWidth="1"/>
    <col min="21" max="34" width="5.21875" style="63" customWidth="1"/>
    <col min="35" max="16384" width="8.88671875" style="63"/>
  </cols>
  <sheetData>
    <row r="1" spans="1:34" x14ac:dyDescent="0.25">
      <c r="A1" s="99"/>
    </row>
    <row r="2" spans="1:34" ht="18.75" thickBot="1" x14ac:dyDescent="0.3"/>
    <row r="3" spans="1:34" ht="18.75" thickBot="1" x14ac:dyDescent="0.3">
      <c r="A3" s="148" t="s">
        <v>73</v>
      </c>
      <c r="B3" s="405">
        <v>2</v>
      </c>
      <c r="C3" s="405"/>
      <c r="D3" s="406"/>
    </row>
    <row r="4" spans="1:34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407">
        <v>0.95</v>
      </c>
      <c r="AA4" s="408"/>
      <c r="AB4" s="408"/>
      <c r="AC4" s="408"/>
      <c r="AD4" s="408"/>
      <c r="AE4" s="409"/>
      <c r="AF4" s="388" t="s">
        <v>53</v>
      </c>
      <c r="AG4" s="389"/>
      <c r="AH4" s="390"/>
    </row>
    <row r="5" spans="1:34" ht="18.75" thickBot="1" x14ac:dyDescent="0.3">
      <c r="A5" s="102" t="s">
        <v>54</v>
      </c>
      <c r="B5" s="103">
        <v>2</v>
      </c>
      <c r="C5" s="104">
        <v>5</v>
      </c>
      <c r="D5" s="104">
        <v>8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410" t="s">
        <v>57</v>
      </c>
      <c r="AA5" s="411"/>
      <c r="AB5" s="412"/>
      <c r="AC5" s="410" t="s">
        <v>58</v>
      </c>
      <c r="AD5" s="411"/>
      <c r="AE5" s="412"/>
      <c r="AF5" s="391"/>
      <c r="AG5" s="392"/>
      <c r="AH5" s="393"/>
    </row>
    <row r="6" spans="1:34" ht="18.75" thickBot="1" x14ac:dyDescent="0.3">
      <c r="A6" s="134">
        <v>6</v>
      </c>
      <c r="B6" s="106">
        <f>(((SQRT(B5)*$B$3)/SQRT(3))*$C$15)/$A6</f>
        <v>326.59863237109045</v>
      </c>
      <c r="C6" s="106">
        <f>(((SQRT(C5)*$B$3)/SQRT(3))*$C$15)/$A6</f>
        <v>516.39777949432232</v>
      </c>
      <c r="D6" s="106">
        <f>(((SQRT(D5)*$B$3)/SQRT(3))*$C$15)/$A6</f>
        <v>653.19726474218089</v>
      </c>
      <c r="F6" s="107" t="str">
        <f>_2200b</f>
        <v>TeeJet</v>
      </c>
      <c r="G6" s="107" t="str">
        <f>_2200c</f>
        <v>AITTJ60 110 05 VP</v>
      </c>
      <c r="H6" s="108">
        <f>_2200h</f>
        <v>1.5</v>
      </c>
      <c r="I6" s="109" t="str">
        <f>IF(H6="","","bis")</f>
        <v>bis</v>
      </c>
      <c r="J6" s="110">
        <f>_2200i</f>
        <v>5</v>
      </c>
      <c r="K6" s="111">
        <f>(((SQRT($H6)*$B$3)/SQRT(3))*60000)/($B$12*$B$15)</f>
        <v>4.2426406871192848</v>
      </c>
      <c r="L6" s="109" t="str">
        <f>IF(K6="","","bis")</f>
        <v>bis</v>
      </c>
      <c r="M6" s="112">
        <f>(((SQRT($J6)*$B$3)/SQRT(3))*60000)/($B$12*$B$15)</f>
        <v>7.7459666924148349</v>
      </c>
      <c r="N6" s="110">
        <f>_2200j</f>
        <v>1.5</v>
      </c>
      <c r="O6" s="109" t="str">
        <f>IF(N6="","","bis")</f>
        <v>bis</v>
      </c>
      <c r="P6" s="112">
        <f>_2200k</f>
        <v>2.5</v>
      </c>
      <c r="Q6" s="111">
        <f>(((SQRT($N6)*$B$3)/SQRT(3))*60000)/($B$12*$B$15)</f>
        <v>4.2426406871192848</v>
      </c>
      <c r="R6" s="109" t="str">
        <f>IF(Q6="","","bis")</f>
        <v>bis</v>
      </c>
      <c r="S6" s="112">
        <f>(((SQRT($P6)*$B$3)/SQRT(3))*60000)/($B$12*$B$15)</f>
        <v>5.4772255750516621</v>
      </c>
      <c r="T6" s="111">
        <f>_2200l</f>
        <v>1.5</v>
      </c>
      <c r="U6" s="109" t="str">
        <f>IF(T6="","","bis")</f>
        <v>bis</v>
      </c>
      <c r="V6" s="110">
        <f>_2200m</f>
        <v>1.5</v>
      </c>
      <c r="W6" s="111">
        <f>(((SQRT($T6)*$B$3)/SQRT(3))*60000)/($B$12*$B$15)</f>
        <v>4.2426406871192848</v>
      </c>
      <c r="X6" s="109" t="str">
        <f>IF(W6="","","bis")</f>
        <v>bis</v>
      </c>
      <c r="Y6" s="112">
        <f>(((SQRT($V6)*$B$3)/SQRT(3))*60000)/($B$12*$B$15)</f>
        <v>4.2426406871192848</v>
      </c>
      <c r="Z6" s="111"/>
      <c r="AA6" s="109" t="str">
        <f>IF(Z6="","","bis")</f>
        <v/>
      </c>
      <c r="AB6" s="112"/>
      <c r="AC6" s="111">
        <f>(((SQRT($Z6)*$B$3)/SQRT(3))*60000)/($B$12*$B$15)</f>
        <v>0</v>
      </c>
      <c r="AD6" s="109" t="s">
        <v>74</v>
      </c>
      <c r="AE6" s="112">
        <f>(((SQRT($AB6)*$B$3)/SQRT(3))*60000)/($B$12*$B$15)</f>
        <v>0</v>
      </c>
      <c r="AF6" s="113">
        <f>_2200f</f>
        <v>1.5</v>
      </c>
      <c r="AG6" s="109" t="str">
        <f>IF(AF6="","","bis")</f>
        <v>bis</v>
      </c>
      <c r="AH6" s="114">
        <f>_2200g</f>
        <v>8</v>
      </c>
    </row>
    <row r="7" spans="1:34" ht="18.75" thickBot="1" x14ac:dyDescent="0.3">
      <c r="A7" s="135">
        <v>7</v>
      </c>
      <c r="B7" s="106">
        <f>(((SQRT(B5)*$B$3)/SQRT(3))*$C$15)/$A7</f>
        <v>279.94168488950612</v>
      </c>
      <c r="C7" s="106">
        <f>(((SQRT(C5)*$B$3)/SQRT(3))*$C$15)/$A7</f>
        <v>442.62666813799058</v>
      </c>
      <c r="D7" s="106">
        <f>(((SQRT(D5)*$B$3)/SQRT(3))*$C$15)/$A7</f>
        <v>559.88336977901224</v>
      </c>
      <c r="F7" s="107" t="str">
        <f>_2018b</f>
        <v>Lechler</v>
      </c>
      <c r="G7" s="107" t="str">
        <f>_2018c</f>
        <v>IDTA 120 05 C</v>
      </c>
      <c r="H7" s="108">
        <f>_2018h</f>
        <v>0</v>
      </c>
      <c r="I7" s="109" t="str">
        <f>IF(H7="","","bis")</f>
        <v>bis</v>
      </c>
      <c r="J7" s="112">
        <f>_2018i</f>
        <v>0</v>
      </c>
      <c r="K7" s="111">
        <f>(((SQRT($H7)*$B$3)/SQRT(3))*60000)/($B$12*$B$15)</f>
        <v>0</v>
      </c>
      <c r="L7" s="109" t="str">
        <f>IF(K7="","","bis")</f>
        <v>bis</v>
      </c>
      <c r="M7" s="112">
        <f>(((SQRT($J7)*$B$3)/SQRT(3))*60000)/($B$12*$B$15)</f>
        <v>0</v>
      </c>
      <c r="N7" s="111">
        <f>_2018j</f>
        <v>0</v>
      </c>
      <c r="O7" s="109" t="str">
        <f>IF(N7="","","bis")</f>
        <v>bis</v>
      </c>
      <c r="P7" s="112">
        <f>_2018k</f>
        <v>0</v>
      </c>
      <c r="Q7" s="111">
        <f>(((SQRT($N7)*$B$3)/SQRT(3))*60000)/($B$12*$B$15)</f>
        <v>0</v>
      </c>
      <c r="R7" s="109" t="str">
        <f>IF(Q7="","","bis")</f>
        <v>bis</v>
      </c>
      <c r="S7" s="112">
        <f>(((SQRT($P7)*$B$3)/SQRT(3))*60000)/($B$12*$B$15)</f>
        <v>0</v>
      </c>
      <c r="T7" s="111">
        <f>_2018l</f>
        <v>0</v>
      </c>
      <c r="U7" s="109" t="str">
        <f>IF(T7="","","bis")</f>
        <v>bis</v>
      </c>
      <c r="V7" s="112">
        <f>_2018m</f>
        <v>0</v>
      </c>
      <c r="W7" s="111">
        <f>(((SQRT($T7)*$B$3)/SQRT(3))*60000)/($B$12*$B$15)</f>
        <v>0</v>
      </c>
      <c r="X7" s="109" t="str">
        <f>IF(W7="","","bis")</f>
        <v>bis</v>
      </c>
      <c r="Y7" s="112">
        <f>(((SQRT($V7)*$B$3)/SQRT(3))*60000)/($B$12*$B$15)</f>
        <v>0</v>
      </c>
      <c r="Z7" s="111">
        <f>_2018n</f>
        <v>1</v>
      </c>
      <c r="AA7" s="109" t="str">
        <f>IF(Z7="","","bis")</f>
        <v>bis</v>
      </c>
      <c r="AB7" s="112">
        <f>_2018o</f>
        <v>1.5</v>
      </c>
      <c r="AC7" s="111">
        <f>(((SQRT($Z7)*$B$3)/SQRT(3))*60000)/($B$12*$B$15)</f>
        <v>3.4641016151377553</v>
      </c>
      <c r="AD7" s="109" t="s">
        <v>74</v>
      </c>
      <c r="AE7" s="112">
        <f>(((SQRT($AB7)*$B$3)/SQRT(3))*60000)/($B$12*$B$15)</f>
        <v>4.2426406871192848</v>
      </c>
      <c r="AF7" s="113">
        <f>_2018f</f>
        <v>1</v>
      </c>
      <c r="AG7" s="109" t="str">
        <f>IF(AF7="","","bis")</f>
        <v>bis</v>
      </c>
      <c r="AH7" s="114">
        <f>_2018g</f>
        <v>8</v>
      </c>
    </row>
    <row r="8" spans="1:34" ht="18.75" thickBot="1" x14ac:dyDescent="0.3">
      <c r="A8" s="135">
        <v>8</v>
      </c>
      <c r="B8" s="106">
        <f>(((SQRT(B5)*$B$3)/SQRT(3))*$C$15)/$A8</f>
        <v>244.94897427831785</v>
      </c>
      <c r="C8" s="106">
        <f>(((SQRT(C5)*$B$3)/SQRT(3))*1200)/$A8</f>
        <v>387.29833462074174</v>
      </c>
      <c r="D8" s="106">
        <f>(((SQRT(D5)*$B$3)/SQRT(3))*1200)/$A8</f>
        <v>489.8979485566357</v>
      </c>
      <c r="F8" s="107" t="str">
        <f>_b2020b</f>
        <v>JohnDeere</v>
      </c>
      <c r="G8" s="107" t="str">
        <f>_b2020c</f>
        <v>PSAULDCQ2005</v>
      </c>
      <c r="H8" s="108">
        <f>_b2020h</f>
        <v>0</v>
      </c>
      <c r="I8" s="109" t="str">
        <f>IF(H8="","","bis")</f>
        <v>bis</v>
      </c>
      <c r="J8" s="112">
        <f>_b2020i</f>
        <v>0</v>
      </c>
      <c r="K8" s="111">
        <f>(((SQRT($H8)*$B$3)/SQRT(3))*60000)/($B$12*$B$15)</f>
        <v>0</v>
      </c>
      <c r="L8" s="109" t="str">
        <f>IF(K8="","","bis")</f>
        <v>bis</v>
      </c>
      <c r="M8" s="112">
        <f>(((SQRT($J8)*$B$3)/SQRT(3))*60000)/($B$12*$B$15)</f>
        <v>0</v>
      </c>
      <c r="N8" s="111">
        <f>_b2020j</f>
        <v>0</v>
      </c>
      <c r="O8" s="109" t="str">
        <f>IF(N8="","","bis")</f>
        <v>bis</v>
      </c>
      <c r="P8" s="112">
        <f>_b2020k</f>
        <v>0</v>
      </c>
      <c r="Q8" s="111">
        <f>(((SQRT($N8)*$B$3)/SQRT(3))*60000)/($B$12*$B$15)</f>
        <v>0</v>
      </c>
      <c r="R8" s="109" t="str">
        <f>IF(Q8="","","bis")</f>
        <v>bis</v>
      </c>
      <c r="S8" s="112">
        <f>(((SQRT($P8)*$B$3)/SQRT(3))*60000)/($B$12*$B$15)</f>
        <v>0</v>
      </c>
      <c r="T8" s="111">
        <f>_b2020l</f>
        <v>0</v>
      </c>
      <c r="U8" s="109" t="str">
        <f>IF(T8="","","bis")</f>
        <v>bis</v>
      </c>
      <c r="V8" s="112">
        <f>_b2020m</f>
        <v>0</v>
      </c>
      <c r="W8" s="111">
        <f>(((SQRT($T8)*$B$3)/SQRT(3))*60000)/($B$12*$B$15)</f>
        <v>0</v>
      </c>
      <c r="X8" s="109" t="str">
        <f>IF(W8="","","bis")</f>
        <v>bis</v>
      </c>
      <c r="Y8" s="112">
        <f>(((SQRT($V8)*$B$3)/SQRT(3))*60000)/($B$12*$B$15)</f>
        <v>0</v>
      </c>
      <c r="Z8" s="111">
        <f>_b2020n</f>
        <v>1</v>
      </c>
      <c r="AA8" s="109" t="str">
        <f>IF(Z8="","","bis")</f>
        <v>bis</v>
      </c>
      <c r="AB8" s="112">
        <f>_b2020o</f>
        <v>1.5</v>
      </c>
      <c r="AC8" s="111">
        <f>(((SQRT($Z8)*$B$3)/SQRT(3))*60000)/($B$12*$B$15)</f>
        <v>3.4641016151377553</v>
      </c>
      <c r="AD8" s="109" t="s">
        <v>74</v>
      </c>
      <c r="AE8" s="112">
        <f>(((SQRT($AB8)*$B$3)/SQRT(3))*60000)/($B$12*$B$15)</f>
        <v>4.2426406871192848</v>
      </c>
      <c r="AF8" s="113">
        <f>_b2020f</f>
        <v>1</v>
      </c>
      <c r="AG8" s="109" t="str">
        <f>IF(AF8="","","bis")</f>
        <v>bis</v>
      </c>
      <c r="AH8" s="114">
        <f>_b2020g</f>
        <v>8</v>
      </c>
    </row>
    <row r="9" spans="1:34" ht="18.75" thickBot="1" x14ac:dyDescent="0.3">
      <c r="A9" s="135">
        <v>9</v>
      </c>
      <c r="B9" s="106">
        <f>(((SQRT(B5)*$B$3)/SQRT(3))*$C$15)/$A9</f>
        <v>217.73242158072696</v>
      </c>
      <c r="C9" s="106">
        <f>(((SQRT(C5)*$B$3)/SQRT(3))*$C$15)/$A9</f>
        <v>344.26518632954821</v>
      </c>
      <c r="D9" s="106">
        <f>(((SQRT(D5)*$B$3)/SQRT(3))*$C$15)/$A9</f>
        <v>435.46484316145393</v>
      </c>
      <c r="F9" s="107" t="str">
        <f>_2081b</f>
        <v>TeeJet</v>
      </c>
      <c r="G9" s="107" t="str">
        <f>_2081c</f>
        <v>TTI60-110 05 VP-C</v>
      </c>
      <c r="H9" s="108">
        <f>_2081h</f>
        <v>1.5</v>
      </c>
      <c r="I9" s="109" t="str">
        <f>IF(H9="","","bis")</f>
        <v>bis</v>
      </c>
      <c r="J9" s="112">
        <f>_2081i</f>
        <v>7</v>
      </c>
      <c r="K9" s="111">
        <f>(((SQRT($H9)*$B$3)/SQRT(3))*60000)/($B$12*$B$15)</f>
        <v>4.2426406871192848</v>
      </c>
      <c r="L9" s="109" t="str">
        <f>IF(K9="","","bis")</f>
        <v>bis</v>
      </c>
      <c r="M9" s="112">
        <f>(((SQRT($J9)*$B$3)/SQRT(3))*60000)/($B$12*$B$15)</f>
        <v>9.1651513899116814</v>
      </c>
      <c r="N9" s="111">
        <f>_2081j</f>
        <v>1.5</v>
      </c>
      <c r="O9" s="109" t="str">
        <f>IF(N9="","","bis")</f>
        <v>bis</v>
      </c>
      <c r="P9" s="112">
        <f>_2081k</f>
        <v>3.5</v>
      </c>
      <c r="Q9" s="111">
        <f>(((SQRT($N9)*$B$3)/SQRT(3))*60000)/($B$12*$B$15)</f>
        <v>4.2426406871192848</v>
      </c>
      <c r="R9" s="109" t="str">
        <f>IF(Q9="","","bis")</f>
        <v>bis</v>
      </c>
      <c r="S9" s="112">
        <f>(((SQRT($P9)*$B$3)/SQRT(3))*60000)/($B$12*$B$15)</f>
        <v>6.4807406984078613</v>
      </c>
      <c r="T9" s="111">
        <f>_2081l</f>
        <v>1.5</v>
      </c>
      <c r="U9" s="109" t="str">
        <f>IF(T9="","","bis")</f>
        <v>bis</v>
      </c>
      <c r="V9" s="110">
        <f>_2081m</f>
        <v>2</v>
      </c>
      <c r="W9" s="111">
        <f>(((SQRT($T9)*$B$3)/SQRT(3))*60000)/($B$12*$B$15)</f>
        <v>4.2426406871192848</v>
      </c>
      <c r="X9" s="109" t="str">
        <f>IF(W9="","","bis")</f>
        <v>bis</v>
      </c>
      <c r="Y9" s="112">
        <f>(((SQRT($V9)*$B$3)/SQRT(3))*60000)/($B$12*$B$15)</f>
        <v>4.8989794855663567</v>
      </c>
      <c r="Z9" s="111"/>
      <c r="AA9" s="109" t="str">
        <f>IF(Z9="","","bis")</f>
        <v/>
      </c>
      <c r="AB9" s="112"/>
      <c r="AC9" s="111">
        <f>(((SQRT($Z9)*$B$3)/SQRT(3))*60000)/($B$12*$B$15)</f>
        <v>0</v>
      </c>
      <c r="AD9" s="109" t="s">
        <v>74</v>
      </c>
      <c r="AE9" s="112">
        <f>(((SQRT($AB9)*$B$3)/SQRT(3))*60000)/($B$12*$B$15)</f>
        <v>0</v>
      </c>
      <c r="AF9" s="113">
        <f>_2081f</f>
        <v>1.5</v>
      </c>
      <c r="AG9" s="109" t="str">
        <f>IF(AF9="","","bis")</f>
        <v>bis</v>
      </c>
      <c r="AH9" s="114">
        <f>_2081g</f>
        <v>7</v>
      </c>
    </row>
    <row r="10" spans="1:34" ht="18.75" thickBot="1" x14ac:dyDescent="0.3">
      <c r="A10" s="136">
        <v>10</v>
      </c>
      <c r="B10" s="115">
        <f>(((SQRT(B5)*$B$3)/SQRT(3))*$C$15)/$A10</f>
        <v>195.95917942265427</v>
      </c>
      <c r="C10" s="115">
        <f>(((SQRT(C5)*$B$3)/SQRT(3))*$C$15)/$A10</f>
        <v>309.8386676965934</v>
      </c>
      <c r="D10" s="115">
        <f>(((SQRT(D5)*$B$3)/SQRT(3))*$C$15)/$A10</f>
        <v>391.91835884530855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1"/>
      <c r="AA10" s="109" t="str">
        <f>IF(Z10="","","bis")</f>
        <v/>
      </c>
      <c r="AB10" s="112"/>
      <c r="AC10" s="111">
        <f>(((SQRT($Z10)*$B$3)/SQRT(3))*60000)/($B$12*$B$15)</f>
        <v>0</v>
      </c>
      <c r="AD10" s="109" t="s">
        <v>74</v>
      </c>
      <c r="AE10" s="112">
        <f>(((SQRT($AB10)*$B$3)/SQRT(3))*60000)/($B$12*$B$15)</f>
        <v>0</v>
      </c>
      <c r="AF10" s="113"/>
      <c r="AG10" s="109" t="str">
        <f>IF(AF10="","","bis")</f>
        <v/>
      </c>
      <c r="AH10" s="114"/>
    </row>
    <row r="11" spans="1:34" ht="18.75" thickBot="1" x14ac:dyDescent="0.3">
      <c r="J11" s="116"/>
    </row>
    <row r="12" spans="1:34" ht="18.75" thickBot="1" x14ac:dyDescent="0.3">
      <c r="A12" s="117" t="s">
        <v>60</v>
      </c>
      <c r="B12" s="64">
        <v>400</v>
      </c>
      <c r="C12" s="66"/>
      <c r="D12" s="145">
        <f>Tabelle1!A2</f>
        <v>1000</v>
      </c>
    </row>
    <row r="13" spans="1:34" ht="18.75" thickBot="1" x14ac:dyDescent="0.3">
      <c r="A13" s="117" t="s">
        <v>61</v>
      </c>
      <c r="B13" s="120">
        <f>POWER(((SQRT(3)*$C$13)/$B$3),2)</f>
        <v>2.9999999999999996</v>
      </c>
      <c r="C13" s="124">
        <f>(B12*B14*B15)/60000</f>
        <v>2</v>
      </c>
      <c r="D13" s="120">
        <f>POWER(((SQRT(3)*$E$13)/$B$3),2)</f>
        <v>6.3802083333333313</v>
      </c>
      <c r="E13" s="124">
        <f>(D12*D14*D15)/60000</f>
        <v>2.9166666666666665</v>
      </c>
    </row>
    <row r="14" spans="1:34" ht="18.75" thickBot="1" x14ac:dyDescent="0.3">
      <c r="A14" s="117" t="s">
        <v>62</v>
      </c>
      <c r="B14" s="78">
        <v>6</v>
      </c>
      <c r="D14" s="146">
        <f>Tabelle1!A4</f>
        <v>3.5</v>
      </c>
    </row>
    <row r="15" spans="1:34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ZEHlFoQbvzE5O5qR8tz6/vIwcaMiOU8dXNwG2inJHfUPJGR0AG5xFYxSUIX5qbs723rJ3pTzfyGB0OB9gwLlDg==" saltValue="ezF3kzXnxdUdwFKcszKMFw==" spinCount="100000" sheet="1" objects="1" scenarios="1"/>
  <mergeCells count="14">
    <mergeCell ref="AF4:AH5"/>
    <mergeCell ref="H5:J5"/>
    <mergeCell ref="K5:M5"/>
    <mergeCell ref="N5:P5"/>
    <mergeCell ref="Q5:S5"/>
    <mergeCell ref="T5:V5"/>
    <mergeCell ref="W5:Y5"/>
    <mergeCell ref="Z5:AB5"/>
    <mergeCell ref="AC5:AE5"/>
    <mergeCell ref="B3:D3"/>
    <mergeCell ref="H4:M4"/>
    <mergeCell ref="N4:S4"/>
    <mergeCell ref="T4:Y4"/>
    <mergeCell ref="Z4:AE4"/>
  </mergeCells>
  <conditionalFormatting sqref="B9">
    <cfRule type="cellIs" dxfId="284" priority="8" operator="greaterThan">
      <formula>$B$12</formula>
    </cfRule>
  </conditionalFormatting>
  <conditionalFormatting sqref="C6">
    <cfRule type="cellIs" dxfId="283" priority="14" operator="greaterThan">
      <formula>$B$12</formula>
    </cfRule>
  </conditionalFormatting>
  <conditionalFormatting sqref="B6">
    <cfRule type="cellIs" dxfId="282" priority="15" operator="greaterThan">
      <formula>$B$12</formula>
    </cfRule>
  </conditionalFormatting>
  <conditionalFormatting sqref="B7">
    <cfRule type="cellIs" dxfId="281" priority="12" operator="greaterThan">
      <formula>$B$12</formula>
    </cfRule>
  </conditionalFormatting>
  <conditionalFormatting sqref="D10">
    <cfRule type="cellIs" dxfId="280" priority="1" operator="greaterThan">
      <formula>$B$12</formula>
    </cfRule>
  </conditionalFormatting>
  <conditionalFormatting sqref="D6">
    <cfRule type="cellIs" dxfId="279" priority="13" operator="greaterThan">
      <formula>$B$12</formula>
    </cfRule>
  </conditionalFormatting>
  <conditionalFormatting sqref="C7">
    <cfRule type="cellIs" dxfId="278" priority="11" operator="greaterThan">
      <formula>$B$12</formula>
    </cfRule>
  </conditionalFormatting>
  <conditionalFormatting sqref="D7">
    <cfRule type="cellIs" dxfId="277" priority="10" operator="greaterThan">
      <formula>$B$12</formula>
    </cfRule>
  </conditionalFormatting>
  <conditionalFormatting sqref="B8">
    <cfRule type="cellIs" dxfId="276" priority="9" operator="greaterThan">
      <formula>$B$12</formula>
    </cfRule>
  </conditionalFormatting>
  <conditionalFormatting sqref="B10">
    <cfRule type="cellIs" dxfId="275" priority="7" operator="greaterThan">
      <formula>$B$12</formula>
    </cfRule>
  </conditionalFormatting>
  <conditionalFormatting sqref="C8">
    <cfRule type="cellIs" dxfId="274" priority="6" operator="greaterThan">
      <formula>$B$12</formula>
    </cfRule>
  </conditionalFormatting>
  <conditionalFormatting sqref="D8">
    <cfRule type="cellIs" dxfId="273" priority="5" operator="greaterThan">
      <formula>$B$12</formula>
    </cfRule>
  </conditionalFormatting>
  <conditionalFormatting sqref="C9">
    <cfRule type="cellIs" dxfId="272" priority="4" operator="greaterThan">
      <formula>$B$12</formula>
    </cfRule>
  </conditionalFormatting>
  <conditionalFormatting sqref="D9">
    <cfRule type="cellIs" dxfId="271" priority="3" operator="greaterThan">
      <formula>$B$12</formula>
    </cfRule>
  </conditionalFormatting>
  <conditionalFormatting sqref="C10">
    <cfRule type="cellIs" dxfId="270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showRowColHeaders="0" tabSelected="1" zoomScale="80" zoomScaleNormal="80" workbookViewId="0">
      <pane xSplit="25" ySplit="9" topLeftCell="Z10" activePane="bottomRight" state="frozen"/>
      <selection pane="topRight" activeCell="Z1" sqref="Z1"/>
      <selection pane="bottomLeft" activeCell="A10" sqref="A10"/>
      <selection pane="bottomRight"/>
    </sheetView>
  </sheetViews>
  <sheetFormatPr baseColWidth="10" defaultColWidth="8.88671875" defaultRowHeight="18" x14ac:dyDescent="0.25"/>
  <cols>
    <col min="1" max="1" width="33.88671875" style="63" customWidth="1"/>
    <col min="2" max="7" width="8.88671875" style="63" customWidth="1"/>
    <col min="8" max="13" width="8.88671875" style="63"/>
    <col min="14" max="14" width="9.44140625" style="63" bestFit="1" customWidth="1"/>
    <col min="15" max="16384" width="8.88671875" style="63"/>
  </cols>
  <sheetData>
    <row r="1" spans="1:25" ht="21" thickBot="1" x14ac:dyDescent="0.35">
      <c r="A1" s="59"/>
      <c r="B1" s="60"/>
      <c r="C1" s="60"/>
      <c r="D1" s="60"/>
      <c r="E1" s="60"/>
      <c r="F1" s="60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0"/>
      <c r="V1" s="60"/>
      <c r="W1" s="60"/>
      <c r="X1" s="60"/>
      <c r="Y1" s="62"/>
    </row>
    <row r="2" spans="1:25" ht="30" customHeight="1" thickBot="1" x14ac:dyDescent="0.3">
      <c r="A2" s="64">
        <v>1000</v>
      </c>
      <c r="B2" s="65" t="s">
        <v>42</v>
      </c>
      <c r="C2" s="66"/>
      <c r="D2" s="66"/>
      <c r="E2" s="66"/>
      <c r="G2" s="67"/>
      <c r="H2" s="68"/>
      <c r="I2" s="69"/>
      <c r="J2" s="69"/>
      <c r="K2" s="69"/>
      <c r="L2" s="69"/>
      <c r="M2" s="69"/>
      <c r="N2" s="69"/>
      <c r="O2" s="70"/>
      <c r="P2" s="70"/>
      <c r="Q2" s="70"/>
      <c r="R2" s="69"/>
      <c r="S2" s="69"/>
      <c r="T2" s="69"/>
      <c r="U2" s="71"/>
      <c r="V2" s="71"/>
      <c r="W2" s="71"/>
      <c r="X2" s="71"/>
      <c r="Y2" s="71"/>
    </row>
    <row r="3" spans="1:25" ht="34.5" thickBot="1" x14ac:dyDescent="0.3">
      <c r="A3" s="72" t="s">
        <v>43</v>
      </c>
      <c r="B3" s="71"/>
      <c r="C3" s="73"/>
      <c r="D3" s="73"/>
      <c r="E3" s="73"/>
      <c r="G3" s="74"/>
      <c r="H3" s="68"/>
      <c r="I3" s="75"/>
      <c r="J3" s="75"/>
      <c r="K3" s="75"/>
      <c r="L3" s="75"/>
      <c r="M3" s="70"/>
      <c r="N3" s="70"/>
      <c r="O3" s="308">
        <f ca="1">YEAR(TODAY())</f>
        <v>2023</v>
      </c>
      <c r="P3" s="308"/>
      <c r="Q3" s="76"/>
      <c r="R3" s="70"/>
      <c r="S3" s="70"/>
      <c r="T3" s="70"/>
      <c r="U3" s="77"/>
      <c r="V3" s="77"/>
      <c r="W3" s="77"/>
      <c r="X3" s="77"/>
      <c r="Y3" s="77"/>
    </row>
    <row r="4" spans="1:25" ht="30" customHeight="1" thickBot="1" x14ac:dyDescent="0.3">
      <c r="A4" s="78">
        <v>3.5</v>
      </c>
      <c r="B4" s="65" t="s">
        <v>44</v>
      </c>
      <c r="C4" s="79"/>
      <c r="D4" s="79"/>
      <c r="E4" s="79"/>
      <c r="G4" s="80"/>
      <c r="H4" s="68"/>
      <c r="I4" s="69"/>
      <c r="J4" s="69"/>
      <c r="K4" s="69"/>
      <c r="L4" s="69"/>
      <c r="M4" s="81"/>
      <c r="N4" s="81"/>
      <c r="O4" s="81"/>
      <c r="P4" s="81"/>
      <c r="Q4" s="81"/>
      <c r="R4" s="81"/>
      <c r="S4" s="81"/>
      <c r="T4" s="81"/>
      <c r="U4" s="82"/>
      <c r="V4" s="71"/>
      <c r="W4" s="83"/>
      <c r="X4" s="71"/>
      <c r="Y4" s="77"/>
    </row>
    <row r="5" spans="1:25" ht="30" customHeight="1" thickBot="1" x14ac:dyDescent="0.3">
      <c r="A5" s="84">
        <v>50</v>
      </c>
      <c r="B5" s="65" t="s">
        <v>45</v>
      </c>
      <c r="C5" s="85"/>
      <c r="D5" s="85"/>
      <c r="E5" s="85"/>
      <c r="G5" s="86"/>
      <c r="H5" s="68"/>
      <c r="I5" s="69"/>
      <c r="J5" s="69"/>
      <c r="K5" s="69"/>
      <c r="L5" s="69"/>
      <c r="M5" s="81"/>
      <c r="N5" s="81"/>
      <c r="O5" s="81"/>
      <c r="P5" s="81"/>
      <c r="Q5" s="81"/>
      <c r="R5" s="81"/>
      <c r="S5" s="81"/>
      <c r="T5" s="81"/>
      <c r="U5" s="82"/>
      <c r="V5" s="71"/>
      <c r="W5" s="83"/>
      <c r="X5" s="71"/>
      <c r="Y5" s="77"/>
    </row>
    <row r="6" spans="1:25" ht="18.75" thickBot="1" x14ac:dyDescent="0.3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</row>
    <row r="7" spans="1:25" ht="41.25" customHeight="1" thickBot="1" x14ac:dyDescent="0.3">
      <c r="A7" s="87" t="s">
        <v>46</v>
      </c>
      <c r="B7" s="310" t="str">
        <f>"01"</f>
        <v>01</v>
      </c>
      <c r="C7" s="311"/>
      <c r="D7" s="312"/>
      <c r="E7" s="313" t="str">
        <f>"015"</f>
        <v>015</v>
      </c>
      <c r="F7" s="314"/>
      <c r="G7" s="315"/>
      <c r="H7" s="316" t="str">
        <f>"02"</f>
        <v>02</v>
      </c>
      <c r="I7" s="317"/>
      <c r="J7" s="318"/>
      <c r="K7" s="319" t="str">
        <f>"025"</f>
        <v>025</v>
      </c>
      <c r="L7" s="319"/>
      <c r="M7" s="320"/>
      <c r="N7" s="321" t="str">
        <f>"03"</f>
        <v>03</v>
      </c>
      <c r="O7" s="322"/>
      <c r="P7" s="323"/>
      <c r="Q7" s="324" t="str">
        <f>"04"</f>
        <v>04</v>
      </c>
      <c r="R7" s="325"/>
      <c r="S7" s="326"/>
      <c r="T7" s="327" t="str">
        <f>"05"</f>
        <v>05</v>
      </c>
      <c r="U7" s="328"/>
      <c r="V7" s="328"/>
      <c r="W7" s="329" t="str">
        <f>"06"</f>
        <v>06</v>
      </c>
      <c r="X7" s="330"/>
      <c r="Y7" s="331"/>
    </row>
    <row r="8" spans="1:25" ht="28.5" customHeight="1" thickBot="1" x14ac:dyDescent="0.3">
      <c r="A8" s="87" t="s">
        <v>47</v>
      </c>
      <c r="B8" s="305" t="str">
        <f>IF(POWER((($A$2*($A$5/100)*$A$4)/600)*SQRT(3)/0.4,2)&gt;8,"",POWER((($A$2*($A$5/100)*$A$4)/600)*SQRT(3)/0.4,2))</f>
        <v/>
      </c>
      <c r="C8" s="306"/>
      <c r="D8" s="307"/>
      <c r="E8" s="297" t="str">
        <f>IF(POWER((($A$2*($A$5/100)*$A$4)/600)*SQRT(3)/0.6,2)&gt;8,"",POWER((($A$2*($A$5/100)*$A$4)/600)*SQRT(3)/0.6,2))</f>
        <v/>
      </c>
      <c r="F8" s="298"/>
      <c r="G8" s="299"/>
      <c r="H8" s="297" t="str">
        <f>IF(POWER((($A$2*($A$5/100)*$A$4)/600)*SQRT(3)/0.8,2)&gt;8,"",POWER((($A$2*($A$5/100)*$A$4)/600)*SQRT(3)/0.8,2))</f>
        <v/>
      </c>
      <c r="I8" s="298"/>
      <c r="J8" s="299"/>
      <c r="K8" s="297" t="str">
        <f>IF(POWER((($A$2*($A$5/100)*$A$4)/600)*SQRT(3)/1,2)&gt;8,"",POWER((($A$2*($A$5/100)*$A$4)/600)*SQRT(3)/1,2))</f>
        <v/>
      </c>
      <c r="L8" s="298"/>
      <c r="M8" s="299"/>
      <c r="N8" s="297" t="str">
        <f>IF(POWER((($A$2*($A$5/100)*$A$4)/600)*SQRT(3)/1.2,2)&gt;8,"",POWER((($A$2*($A$5/100)*$A$4)/600)*SQRT(3)/1.2,2))</f>
        <v/>
      </c>
      <c r="O8" s="298"/>
      <c r="P8" s="299"/>
      <c r="Q8" s="297" t="str">
        <f>IF(POWER((($A$2*($A$5/100)*$A$4)/600)*SQRT(3)/1.6,2)&gt;8,"",POWER((($A$2*($A$5/100)*$A$4)/600)*SQRT(3)/1.6,2))</f>
        <v/>
      </c>
      <c r="R8" s="298"/>
      <c r="S8" s="299"/>
      <c r="T8" s="297">
        <f>IF(POWER((($A$2*($A$5/100)*$A$4)/600)*SQRT(3)/2,2)&gt;8,"",POWER((($A$2*($A$5/100)*$A$4)/600)*SQRT(3)/2,2))</f>
        <v>6.3802083333333313</v>
      </c>
      <c r="U8" s="298"/>
      <c r="V8" s="299"/>
      <c r="W8" s="297">
        <f>IF(POWER((($A$2*($A$5/100)*$A$4)/600)*SQRT(3)/2.4,2)&gt;8,"",POWER((($A$2*($A$5/100)*$A$4)/600)*SQRT(3)/2.4,2))</f>
        <v>4.4307002314814801</v>
      </c>
      <c r="X8" s="298"/>
      <c r="Y8" s="299"/>
    </row>
    <row r="9" spans="1:25" ht="24" customHeight="1" thickBot="1" x14ac:dyDescent="0.3">
      <c r="A9" s="88" t="s">
        <v>48</v>
      </c>
      <c r="B9" s="300">
        <f>(2.4*SQRT(W8)/SQRT(3))</f>
        <v>2.9166666666666665</v>
      </c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2"/>
    </row>
    <row r="10" spans="1:25" ht="18" customHeight="1" x14ac:dyDescent="0.25">
      <c r="A10" s="303" t="s">
        <v>49</v>
      </c>
      <c r="B10" s="217"/>
      <c r="C10" s="218"/>
      <c r="D10" s="219"/>
      <c r="E10" s="217"/>
      <c r="F10" s="218"/>
      <c r="G10" s="219"/>
      <c r="H10" s="217"/>
      <c r="I10" s="218"/>
      <c r="J10" s="219"/>
      <c r="K10" s="217"/>
      <c r="L10" s="218"/>
      <c r="M10" s="219"/>
      <c r="N10" s="238"/>
      <c r="O10" s="239"/>
      <c r="P10" s="240"/>
      <c r="Q10" s="211"/>
      <c r="R10" s="212"/>
      <c r="S10" s="213"/>
      <c r="T10" s="259"/>
      <c r="U10" s="260"/>
      <c r="V10" s="261"/>
      <c r="W10" s="286"/>
      <c r="X10" s="287"/>
      <c r="Y10" s="288"/>
    </row>
    <row r="11" spans="1:25" x14ac:dyDescent="0.25">
      <c r="A11" s="304"/>
      <c r="B11" s="220"/>
      <c r="C11" s="221"/>
      <c r="D11" s="222"/>
      <c r="E11" s="220"/>
      <c r="F11" s="221"/>
      <c r="G11" s="222"/>
      <c r="H11" s="220"/>
      <c r="I11" s="221"/>
      <c r="J11" s="222"/>
      <c r="K11" s="220"/>
      <c r="L11" s="221"/>
      <c r="M11" s="222"/>
      <c r="N11" s="241"/>
      <c r="O11" s="242"/>
      <c r="P11" s="243"/>
      <c r="Q11" s="214"/>
      <c r="R11" s="215"/>
      <c r="S11" s="216"/>
      <c r="T11" s="262"/>
      <c r="U11" s="263"/>
      <c r="V11" s="264"/>
      <c r="W11" s="289"/>
      <c r="X11" s="290"/>
      <c r="Y11" s="291"/>
    </row>
    <row r="12" spans="1:25" x14ac:dyDescent="0.25">
      <c r="A12" s="89"/>
      <c r="B12" s="220"/>
      <c r="C12" s="221"/>
      <c r="D12" s="222"/>
      <c r="E12" s="220"/>
      <c r="F12" s="221"/>
      <c r="G12" s="222"/>
      <c r="H12" s="220"/>
      <c r="I12" s="221"/>
      <c r="J12" s="222"/>
      <c r="K12" s="220"/>
      <c r="L12" s="221"/>
      <c r="M12" s="222"/>
      <c r="N12" s="241"/>
      <c r="O12" s="242"/>
      <c r="P12" s="243"/>
      <c r="Q12" s="214"/>
      <c r="R12" s="215"/>
      <c r="S12" s="216"/>
      <c r="T12" s="262"/>
      <c r="U12" s="263"/>
      <c r="V12" s="264"/>
      <c r="W12" s="289"/>
      <c r="X12" s="290"/>
      <c r="Y12" s="291"/>
    </row>
    <row r="13" spans="1:25" ht="18.75" thickBot="1" x14ac:dyDescent="0.3">
      <c r="A13" s="90" t="s">
        <v>50</v>
      </c>
      <c r="B13" s="223"/>
      <c r="C13" s="224"/>
      <c r="D13" s="225"/>
      <c r="E13" s="223"/>
      <c r="F13" s="224"/>
      <c r="G13" s="225"/>
      <c r="H13" s="223"/>
      <c r="I13" s="224"/>
      <c r="J13" s="225"/>
      <c r="K13" s="223"/>
      <c r="L13" s="224"/>
      <c r="M13" s="225"/>
      <c r="N13" s="232"/>
      <c r="O13" s="233"/>
      <c r="P13" s="234"/>
      <c r="Q13" s="235"/>
      <c r="R13" s="236"/>
      <c r="S13" s="237"/>
      <c r="T13" s="277"/>
      <c r="U13" s="278"/>
      <c r="V13" s="279"/>
      <c r="W13" s="292"/>
      <c r="X13" s="293"/>
      <c r="Y13" s="294"/>
    </row>
    <row r="14" spans="1:25" ht="18" customHeight="1" x14ac:dyDescent="0.25">
      <c r="A14" s="295"/>
      <c r="B14" s="217"/>
      <c r="C14" s="218"/>
      <c r="D14" s="219"/>
      <c r="E14" s="217"/>
      <c r="F14" s="218"/>
      <c r="G14" s="219"/>
      <c r="H14" s="253"/>
      <c r="I14" s="254"/>
      <c r="J14" s="255"/>
      <c r="K14" s="280"/>
      <c r="L14" s="281"/>
      <c r="M14" s="282"/>
      <c r="N14" s="238"/>
      <c r="O14" s="239"/>
      <c r="P14" s="240"/>
      <c r="Q14" s="211"/>
      <c r="R14" s="212"/>
      <c r="S14" s="213"/>
      <c r="T14" s="259"/>
      <c r="U14" s="260"/>
      <c r="V14" s="261"/>
      <c r="W14" s="286"/>
      <c r="X14" s="287"/>
      <c r="Y14" s="288"/>
    </row>
    <row r="15" spans="1:25" ht="18" customHeight="1" x14ac:dyDescent="0.25">
      <c r="A15" s="296"/>
      <c r="B15" s="220"/>
      <c r="C15" s="221"/>
      <c r="D15" s="222"/>
      <c r="E15" s="220"/>
      <c r="F15" s="221"/>
      <c r="G15" s="222"/>
      <c r="H15" s="256"/>
      <c r="I15" s="257"/>
      <c r="J15" s="258"/>
      <c r="K15" s="283"/>
      <c r="L15" s="284"/>
      <c r="M15" s="285"/>
      <c r="N15" s="241"/>
      <c r="O15" s="242"/>
      <c r="P15" s="243"/>
      <c r="Q15" s="214"/>
      <c r="R15" s="215"/>
      <c r="S15" s="216"/>
      <c r="T15" s="262"/>
      <c r="U15" s="263"/>
      <c r="V15" s="264"/>
      <c r="W15" s="289"/>
      <c r="X15" s="290"/>
      <c r="Y15" s="291"/>
    </row>
    <row r="16" spans="1:25" x14ac:dyDescent="0.25">
      <c r="A16" s="91"/>
      <c r="B16" s="220"/>
      <c r="C16" s="221"/>
      <c r="D16" s="222"/>
      <c r="E16" s="220"/>
      <c r="F16" s="221"/>
      <c r="G16" s="222"/>
      <c r="H16" s="256"/>
      <c r="I16" s="257"/>
      <c r="J16" s="258"/>
      <c r="K16" s="283"/>
      <c r="L16" s="284"/>
      <c r="M16" s="285"/>
      <c r="N16" s="241"/>
      <c r="O16" s="242"/>
      <c r="P16" s="243"/>
      <c r="Q16" s="214"/>
      <c r="R16" s="215"/>
      <c r="S16" s="216"/>
      <c r="T16" s="262"/>
      <c r="U16" s="263"/>
      <c r="V16" s="264"/>
      <c r="W16" s="289"/>
      <c r="X16" s="290"/>
      <c r="Y16" s="291"/>
    </row>
    <row r="17" spans="1:25" ht="18.75" thickBot="1" x14ac:dyDescent="0.3">
      <c r="A17" s="92" t="s">
        <v>50</v>
      </c>
      <c r="B17" s="223"/>
      <c r="C17" s="224"/>
      <c r="D17" s="225"/>
      <c r="E17" s="223"/>
      <c r="F17" s="224"/>
      <c r="G17" s="225"/>
      <c r="H17" s="229"/>
      <c r="I17" s="230"/>
      <c r="J17" s="231"/>
      <c r="K17" s="274"/>
      <c r="L17" s="275"/>
      <c r="M17" s="276"/>
      <c r="N17" s="232"/>
      <c r="O17" s="233"/>
      <c r="P17" s="234"/>
      <c r="Q17" s="235"/>
      <c r="R17" s="236"/>
      <c r="S17" s="237"/>
      <c r="T17" s="277"/>
      <c r="U17" s="278"/>
      <c r="V17" s="279"/>
      <c r="W17" s="292"/>
      <c r="X17" s="293"/>
      <c r="Y17" s="294"/>
    </row>
    <row r="18" spans="1:25" x14ac:dyDescent="0.25">
      <c r="A18" s="93"/>
      <c r="B18" s="217"/>
      <c r="C18" s="218"/>
      <c r="D18" s="219"/>
      <c r="E18" s="217"/>
      <c r="F18" s="218"/>
      <c r="G18" s="219"/>
      <c r="H18" s="217"/>
      <c r="I18" s="218"/>
      <c r="J18" s="219"/>
      <c r="K18" s="280"/>
      <c r="L18" s="281"/>
      <c r="M18" s="282"/>
      <c r="N18" s="238"/>
      <c r="O18" s="239"/>
      <c r="P18" s="240"/>
      <c r="Q18" s="211"/>
      <c r="R18" s="212"/>
      <c r="S18" s="213"/>
      <c r="T18" s="259"/>
      <c r="U18" s="260"/>
      <c r="V18" s="261"/>
      <c r="W18" s="286"/>
      <c r="X18" s="287"/>
      <c r="Y18" s="288"/>
    </row>
    <row r="19" spans="1:25" x14ac:dyDescent="0.25">
      <c r="A19" s="94"/>
      <c r="B19" s="220"/>
      <c r="C19" s="221"/>
      <c r="D19" s="222"/>
      <c r="E19" s="220"/>
      <c r="F19" s="221"/>
      <c r="G19" s="222"/>
      <c r="H19" s="220"/>
      <c r="I19" s="221"/>
      <c r="J19" s="222"/>
      <c r="K19" s="283"/>
      <c r="L19" s="284"/>
      <c r="M19" s="285"/>
      <c r="N19" s="241"/>
      <c r="O19" s="242"/>
      <c r="P19" s="243"/>
      <c r="Q19" s="214"/>
      <c r="R19" s="215"/>
      <c r="S19" s="216"/>
      <c r="T19" s="262"/>
      <c r="U19" s="263"/>
      <c r="V19" s="264"/>
      <c r="W19" s="289"/>
      <c r="X19" s="290"/>
      <c r="Y19" s="291"/>
    </row>
    <row r="20" spans="1:25" x14ac:dyDescent="0.25">
      <c r="A20" s="94"/>
      <c r="B20" s="220"/>
      <c r="C20" s="221"/>
      <c r="D20" s="222"/>
      <c r="E20" s="220"/>
      <c r="F20" s="221"/>
      <c r="G20" s="222"/>
      <c r="H20" s="220"/>
      <c r="I20" s="221"/>
      <c r="J20" s="222"/>
      <c r="K20" s="283"/>
      <c r="L20" s="284"/>
      <c r="M20" s="285"/>
      <c r="N20" s="241"/>
      <c r="O20" s="242"/>
      <c r="P20" s="243"/>
      <c r="Q20" s="214"/>
      <c r="R20" s="215"/>
      <c r="S20" s="216"/>
      <c r="T20" s="262"/>
      <c r="U20" s="263"/>
      <c r="V20" s="264"/>
      <c r="W20" s="289"/>
      <c r="X20" s="290"/>
      <c r="Y20" s="291"/>
    </row>
    <row r="21" spans="1:25" ht="18.75" thickBot="1" x14ac:dyDescent="0.3">
      <c r="A21" s="95" t="s">
        <v>51</v>
      </c>
      <c r="B21" s="223"/>
      <c r="C21" s="224"/>
      <c r="D21" s="225"/>
      <c r="E21" s="223"/>
      <c r="F21" s="224"/>
      <c r="G21" s="225"/>
      <c r="H21" s="223"/>
      <c r="I21" s="224"/>
      <c r="J21" s="225"/>
      <c r="K21" s="274"/>
      <c r="L21" s="275"/>
      <c r="M21" s="276"/>
      <c r="N21" s="232"/>
      <c r="O21" s="233"/>
      <c r="P21" s="234"/>
      <c r="Q21" s="235"/>
      <c r="R21" s="236"/>
      <c r="S21" s="237"/>
      <c r="T21" s="277"/>
      <c r="U21" s="278"/>
      <c r="V21" s="279"/>
      <c r="W21" s="292"/>
      <c r="X21" s="293"/>
      <c r="Y21" s="294"/>
    </row>
    <row r="22" spans="1:25" ht="18" customHeight="1" x14ac:dyDescent="0.25">
      <c r="A22" s="96"/>
      <c r="B22" s="217"/>
      <c r="C22" s="218"/>
      <c r="D22" s="219"/>
      <c r="E22" s="217"/>
      <c r="F22" s="218"/>
      <c r="G22" s="219"/>
      <c r="H22" s="253"/>
      <c r="I22" s="254"/>
      <c r="J22" s="255"/>
      <c r="K22" s="280"/>
      <c r="L22" s="281"/>
      <c r="M22" s="282"/>
      <c r="N22" s="238"/>
      <c r="O22" s="239"/>
      <c r="P22" s="240"/>
      <c r="Q22" s="211"/>
      <c r="R22" s="212"/>
      <c r="S22" s="213"/>
      <c r="T22" s="259"/>
      <c r="U22" s="260"/>
      <c r="V22" s="261"/>
      <c r="W22" s="265"/>
      <c r="X22" s="266"/>
      <c r="Y22" s="267"/>
    </row>
    <row r="23" spans="1:25" x14ac:dyDescent="0.25">
      <c r="A23" s="97"/>
      <c r="B23" s="220"/>
      <c r="C23" s="221"/>
      <c r="D23" s="222"/>
      <c r="E23" s="220"/>
      <c r="F23" s="221"/>
      <c r="G23" s="222"/>
      <c r="H23" s="256"/>
      <c r="I23" s="257"/>
      <c r="J23" s="258"/>
      <c r="K23" s="283"/>
      <c r="L23" s="284"/>
      <c r="M23" s="285"/>
      <c r="N23" s="241"/>
      <c r="O23" s="242"/>
      <c r="P23" s="243"/>
      <c r="Q23" s="214"/>
      <c r="R23" s="215"/>
      <c r="S23" s="216"/>
      <c r="T23" s="262"/>
      <c r="U23" s="263"/>
      <c r="V23" s="264"/>
      <c r="W23" s="268"/>
      <c r="X23" s="269"/>
      <c r="Y23" s="270"/>
    </row>
    <row r="24" spans="1:25" x14ac:dyDescent="0.25">
      <c r="A24" s="97"/>
      <c r="B24" s="220"/>
      <c r="C24" s="221"/>
      <c r="D24" s="222"/>
      <c r="E24" s="220"/>
      <c r="F24" s="221"/>
      <c r="G24" s="222"/>
      <c r="H24" s="256"/>
      <c r="I24" s="257"/>
      <c r="J24" s="258"/>
      <c r="K24" s="283"/>
      <c r="L24" s="284"/>
      <c r="M24" s="285"/>
      <c r="N24" s="241"/>
      <c r="O24" s="242"/>
      <c r="P24" s="243"/>
      <c r="Q24" s="214"/>
      <c r="R24" s="215"/>
      <c r="S24" s="216"/>
      <c r="T24" s="262"/>
      <c r="U24" s="263"/>
      <c r="V24" s="264"/>
      <c r="W24" s="268"/>
      <c r="X24" s="269"/>
      <c r="Y24" s="270"/>
    </row>
    <row r="25" spans="1:25" ht="18.75" thickBot="1" x14ac:dyDescent="0.3">
      <c r="A25" s="98" t="s">
        <v>51</v>
      </c>
      <c r="B25" s="223"/>
      <c r="C25" s="224"/>
      <c r="D25" s="225"/>
      <c r="E25" s="223"/>
      <c r="F25" s="224"/>
      <c r="G25" s="225"/>
      <c r="H25" s="229"/>
      <c r="I25" s="230"/>
      <c r="J25" s="231"/>
      <c r="K25" s="274"/>
      <c r="L25" s="275"/>
      <c r="M25" s="276"/>
      <c r="N25" s="232"/>
      <c r="O25" s="233"/>
      <c r="P25" s="234"/>
      <c r="Q25" s="235"/>
      <c r="R25" s="236"/>
      <c r="S25" s="237"/>
      <c r="T25" s="277"/>
      <c r="U25" s="278"/>
      <c r="V25" s="279"/>
      <c r="W25" s="271"/>
      <c r="X25" s="272"/>
      <c r="Y25" s="273"/>
    </row>
    <row r="26" spans="1:25" x14ac:dyDescent="0.25">
      <c r="A26" s="244"/>
      <c r="B26" s="247"/>
      <c r="C26" s="248"/>
      <c r="D26" s="249"/>
      <c r="E26" s="247"/>
      <c r="F26" s="248"/>
      <c r="G26" s="249"/>
      <c r="H26" s="253"/>
      <c r="I26" s="254"/>
      <c r="J26" s="255"/>
      <c r="K26" s="217"/>
      <c r="L26" s="218"/>
      <c r="M26" s="219"/>
      <c r="N26" s="238"/>
      <c r="O26" s="239"/>
      <c r="P26" s="240"/>
      <c r="Q26" s="211"/>
      <c r="R26" s="212"/>
      <c r="S26" s="213"/>
      <c r="T26" s="217"/>
      <c r="U26" s="218"/>
      <c r="V26" s="219"/>
      <c r="W26" s="217"/>
      <c r="X26" s="218"/>
      <c r="Y26" s="219"/>
    </row>
    <row r="27" spans="1:25" x14ac:dyDescent="0.25">
      <c r="A27" s="245"/>
      <c r="B27" s="250"/>
      <c r="C27" s="251"/>
      <c r="D27" s="252"/>
      <c r="E27" s="250"/>
      <c r="F27" s="251"/>
      <c r="G27" s="252"/>
      <c r="H27" s="256"/>
      <c r="I27" s="257"/>
      <c r="J27" s="258"/>
      <c r="K27" s="220"/>
      <c r="L27" s="221"/>
      <c r="M27" s="222"/>
      <c r="N27" s="241"/>
      <c r="O27" s="242"/>
      <c r="P27" s="243"/>
      <c r="Q27" s="214"/>
      <c r="R27" s="215"/>
      <c r="S27" s="216"/>
      <c r="T27" s="220"/>
      <c r="U27" s="221"/>
      <c r="V27" s="222"/>
      <c r="W27" s="220"/>
      <c r="X27" s="221"/>
      <c r="Y27" s="222"/>
    </row>
    <row r="28" spans="1:25" x14ac:dyDescent="0.25">
      <c r="A28" s="245"/>
      <c r="B28" s="250"/>
      <c r="C28" s="251"/>
      <c r="D28" s="252"/>
      <c r="E28" s="250"/>
      <c r="F28" s="251"/>
      <c r="G28" s="252"/>
      <c r="H28" s="256"/>
      <c r="I28" s="257"/>
      <c r="J28" s="258"/>
      <c r="K28" s="220"/>
      <c r="L28" s="221"/>
      <c r="M28" s="222"/>
      <c r="N28" s="241"/>
      <c r="O28" s="242"/>
      <c r="P28" s="243"/>
      <c r="Q28" s="214"/>
      <c r="R28" s="215"/>
      <c r="S28" s="216"/>
      <c r="T28" s="220"/>
      <c r="U28" s="221"/>
      <c r="V28" s="222"/>
      <c r="W28" s="220"/>
      <c r="X28" s="221"/>
      <c r="Y28" s="222"/>
    </row>
    <row r="29" spans="1:25" ht="18.75" thickBot="1" x14ac:dyDescent="0.3">
      <c r="A29" s="246"/>
      <c r="B29" s="226"/>
      <c r="C29" s="227"/>
      <c r="D29" s="228"/>
      <c r="E29" s="226"/>
      <c r="F29" s="227"/>
      <c r="G29" s="228"/>
      <c r="H29" s="229"/>
      <c r="I29" s="230"/>
      <c r="J29" s="231"/>
      <c r="K29" s="223"/>
      <c r="L29" s="224"/>
      <c r="M29" s="225"/>
      <c r="N29" s="232"/>
      <c r="O29" s="233"/>
      <c r="P29" s="234"/>
      <c r="Q29" s="235"/>
      <c r="R29" s="236"/>
      <c r="S29" s="237"/>
      <c r="T29" s="223"/>
      <c r="U29" s="224"/>
      <c r="V29" s="225"/>
      <c r="W29" s="223"/>
      <c r="X29" s="224"/>
      <c r="Y29" s="225"/>
    </row>
    <row r="30" spans="1:25" ht="18.75" thickBot="1" x14ac:dyDescent="0.3"/>
    <row r="31" spans="1:25" x14ac:dyDescent="0.25">
      <c r="A31" s="244"/>
      <c r="B31" s="217"/>
      <c r="C31" s="218"/>
      <c r="D31" s="219"/>
      <c r="E31" s="217"/>
      <c r="F31" s="218"/>
      <c r="G31" s="219"/>
      <c r="H31" s="217"/>
      <c r="I31" s="218"/>
      <c r="J31" s="219"/>
      <c r="K31" s="217"/>
      <c r="L31" s="218"/>
      <c r="M31" s="219"/>
      <c r="N31" s="217"/>
      <c r="O31" s="218"/>
      <c r="P31" s="219"/>
      <c r="Q31" s="217"/>
      <c r="R31" s="218"/>
      <c r="S31" s="219"/>
      <c r="T31" s="217"/>
      <c r="U31" s="218"/>
      <c r="V31" s="219"/>
      <c r="W31" s="217"/>
      <c r="X31" s="218"/>
      <c r="Y31" s="219"/>
    </row>
    <row r="32" spans="1:25" x14ac:dyDescent="0.25">
      <c r="A32" s="245"/>
      <c r="B32" s="220"/>
      <c r="C32" s="221"/>
      <c r="D32" s="222"/>
      <c r="E32" s="220"/>
      <c r="F32" s="221"/>
      <c r="G32" s="222"/>
      <c r="H32" s="220"/>
      <c r="I32" s="221"/>
      <c r="J32" s="222"/>
      <c r="K32" s="220"/>
      <c r="L32" s="221"/>
      <c r="M32" s="222"/>
      <c r="N32" s="220"/>
      <c r="O32" s="221"/>
      <c r="P32" s="222"/>
      <c r="Q32" s="220"/>
      <c r="R32" s="221"/>
      <c r="S32" s="222"/>
      <c r="T32" s="220"/>
      <c r="U32" s="221"/>
      <c r="V32" s="222"/>
      <c r="W32" s="220"/>
      <c r="X32" s="221"/>
      <c r="Y32" s="222"/>
    </row>
    <row r="33" spans="1:25" x14ac:dyDescent="0.25">
      <c r="A33" s="245"/>
      <c r="B33" s="220"/>
      <c r="C33" s="221"/>
      <c r="D33" s="222"/>
      <c r="E33" s="220"/>
      <c r="F33" s="221"/>
      <c r="G33" s="222"/>
      <c r="H33" s="220"/>
      <c r="I33" s="221"/>
      <c r="J33" s="222"/>
      <c r="K33" s="220"/>
      <c r="L33" s="221"/>
      <c r="M33" s="222"/>
      <c r="N33" s="220"/>
      <c r="O33" s="221"/>
      <c r="P33" s="222"/>
      <c r="Q33" s="220"/>
      <c r="R33" s="221"/>
      <c r="S33" s="222"/>
      <c r="T33" s="220"/>
      <c r="U33" s="221"/>
      <c r="V33" s="222"/>
      <c r="W33" s="220"/>
      <c r="X33" s="221"/>
      <c r="Y33" s="222"/>
    </row>
    <row r="34" spans="1:25" ht="18.75" thickBot="1" x14ac:dyDescent="0.3">
      <c r="A34" s="246"/>
      <c r="B34" s="223"/>
      <c r="C34" s="224"/>
      <c r="D34" s="225"/>
      <c r="E34" s="223"/>
      <c r="F34" s="224"/>
      <c r="G34" s="225"/>
      <c r="H34" s="223"/>
      <c r="I34" s="224"/>
      <c r="J34" s="225"/>
      <c r="K34" s="223"/>
      <c r="L34" s="224"/>
      <c r="M34" s="225"/>
      <c r="N34" s="223"/>
      <c r="O34" s="224"/>
      <c r="P34" s="225"/>
      <c r="Q34" s="223"/>
      <c r="R34" s="224"/>
      <c r="S34" s="225"/>
      <c r="T34" s="223"/>
      <c r="U34" s="224"/>
      <c r="V34" s="225"/>
      <c r="W34" s="223"/>
      <c r="X34" s="224"/>
      <c r="Y34" s="225"/>
    </row>
  </sheetData>
  <sheetProtection algorithmName="SHA-512" hashValue="FEAGVVxm+a6LNxHIOu9JTm46tuK7KuTsrMlD0nafP6489J1DiyMZskwaJnZp7qqLZRaZIaYr0PIt5R7dTn3fUA==" saltValue="Gxr84Lhu0oNWv59m2m72Og==" spinCount="100000" sheet="1" objects="1" scenarios="1"/>
  <mergeCells count="96">
    <mergeCell ref="N31:P34"/>
    <mergeCell ref="Q31:S34"/>
    <mergeCell ref="T31:V34"/>
    <mergeCell ref="W31:Y34"/>
    <mergeCell ref="A31:A34"/>
    <mergeCell ref="B31:D34"/>
    <mergeCell ref="E31:G34"/>
    <mergeCell ref="H31:J34"/>
    <mergeCell ref="K31:M34"/>
    <mergeCell ref="O3:P3"/>
    <mergeCell ref="A6:Y6"/>
    <mergeCell ref="B7:D7"/>
    <mergeCell ref="E7:G7"/>
    <mergeCell ref="H7:J7"/>
    <mergeCell ref="K7:M7"/>
    <mergeCell ref="N7:P7"/>
    <mergeCell ref="Q7:S7"/>
    <mergeCell ref="T7:V7"/>
    <mergeCell ref="W7:Y7"/>
    <mergeCell ref="T8:V8"/>
    <mergeCell ref="W8:Y8"/>
    <mergeCell ref="B9:Y9"/>
    <mergeCell ref="A10:A11"/>
    <mergeCell ref="B10:D13"/>
    <mergeCell ref="E10:G13"/>
    <mergeCell ref="H10:J13"/>
    <mergeCell ref="K10:M13"/>
    <mergeCell ref="N10:P12"/>
    <mergeCell ref="Q10:S12"/>
    <mergeCell ref="B8:D8"/>
    <mergeCell ref="E8:G8"/>
    <mergeCell ref="H8:J8"/>
    <mergeCell ref="K8:M8"/>
    <mergeCell ref="N8:P8"/>
    <mergeCell ref="Q8:S8"/>
    <mergeCell ref="T10:V12"/>
    <mergeCell ref="W10:Y12"/>
    <mergeCell ref="N13:P13"/>
    <mergeCell ref="Q13:S13"/>
    <mergeCell ref="T13:V13"/>
    <mergeCell ref="W13:Y13"/>
    <mergeCell ref="A14:A15"/>
    <mergeCell ref="B14:D17"/>
    <mergeCell ref="E14:G17"/>
    <mergeCell ref="H14:J16"/>
    <mergeCell ref="K14:M16"/>
    <mergeCell ref="Q14:S16"/>
    <mergeCell ref="T14:V16"/>
    <mergeCell ref="W14:Y16"/>
    <mergeCell ref="H17:J17"/>
    <mergeCell ref="K17:M17"/>
    <mergeCell ref="N17:P17"/>
    <mergeCell ref="Q17:S17"/>
    <mergeCell ref="T17:V17"/>
    <mergeCell ref="W17:Y17"/>
    <mergeCell ref="N14:P16"/>
    <mergeCell ref="B18:D21"/>
    <mergeCell ref="E18:G21"/>
    <mergeCell ref="H18:J21"/>
    <mergeCell ref="K18:M20"/>
    <mergeCell ref="N18:P20"/>
    <mergeCell ref="T18:V20"/>
    <mergeCell ref="W18:Y20"/>
    <mergeCell ref="K21:M21"/>
    <mergeCell ref="N21:P21"/>
    <mergeCell ref="Q21:S21"/>
    <mergeCell ref="T21:V21"/>
    <mergeCell ref="W21:Y21"/>
    <mergeCell ref="Q18:S20"/>
    <mergeCell ref="B22:D25"/>
    <mergeCell ref="E22:G25"/>
    <mergeCell ref="H22:J24"/>
    <mergeCell ref="K22:M24"/>
    <mergeCell ref="N22:P24"/>
    <mergeCell ref="T22:V24"/>
    <mergeCell ref="W22:Y25"/>
    <mergeCell ref="H25:J25"/>
    <mergeCell ref="K25:M25"/>
    <mergeCell ref="N25:P25"/>
    <mergeCell ref="Q25:S25"/>
    <mergeCell ref="T25:V25"/>
    <mergeCell ref="Q22:S24"/>
    <mergeCell ref="A26:A29"/>
    <mergeCell ref="B26:D28"/>
    <mergeCell ref="E26:G28"/>
    <mergeCell ref="H26:J28"/>
    <mergeCell ref="K26:M29"/>
    <mergeCell ref="Q26:S28"/>
    <mergeCell ref="T26:V29"/>
    <mergeCell ref="W26:Y29"/>
    <mergeCell ref="B29:D29"/>
    <mergeCell ref="E29:G29"/>
    <mergeCell ref="H29:J29"/>
    <mergeCell ref="N29:P29"/>
    <mergeCell ref="Q29:S29"/>
    <mergeCell ref="N26:P28"/>
  </mergeCells>
  <conditionalFormatting sqref="T8:V8">
    <cfRule type="cellIs" dxfId="472" priority="8" operator="between">
      <formula>1</formula>
      <formula>8</formula>
    </cfRule>
  </conditionalFormatting>
  <conditionalFormatting sqref="Q8:S8">
    <cfRule type="cellIs" dxfId="471" priority="7" operator="between">
      <formula>1</formula>
      <formula>8</formula>
    </cfRule>
  </conditionalFormatting>
  <conditionalFormatting sqref="N8:P8">
    <cfRule type="cellIs" dxfId="470" priority="6" operator="between">
      <formula>1</formula>
      <formula>8</formula>
    </cfRule>
  </conditionalFormatting>
  <conditionalFormatting sqref="K8:M8">
    <cfRule type="cellIs" dxfId="469" priority="5" operator="between">
      <formula>1</formula>
      <formula>8</formula>
    </cfRule>
  </conditionalFormatting>
  <conditionalFormatting sqref="H8:J8">
    <cfRule type="cellIs" dxfId="468" priority="4" operator="between">
      <formula>1</formula>
      <formula>8</formula>
    </cfRule>
  </conditionalFormatting>
  <conditionalFormatting sqref="E8:G8">
    <cfRule type="cellIs" dxfId="467" priority="3" operator="between">
      <formula>1</formula>
      <formula>8</formula>
    </cfRule>
  </conditionalFormatting>
  <conditionalFormatting sqref="B8:D8">
    <cfRule type="cellIs" dxfId="466" priority="2" operator="between">
      <formula>1</formula>
      <formula>8</formula>
    </cfRule>
  </conditionalFormatting>
  <conditionalFormatting sqref="W8:Y8">
    <cfRule type="cellIs" dxfId="465" priority="1" operator="between">
      <formula>1</formula>
      <formula>8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12.6640625" style="63" bestFit="1" customWidth="1"/>
    <col min="4" max="4" width="9.77734375" style="63" bestFit="1" customWidth="1"/>
    <col min="5" max="5" width="8.88671875" style="63"/>
    <col min="6" max="6" width="14.5546875" style="63" bestFit="1" customWidth="1"/>
    <col min="7" max="7" width="20" style="63" bestFit="1" customWidth="1"/>
    <col min="8" max="8" width="20" style="63" customWidth="1"/>
    <col min="9" max="9" width="9.77734375" style="63" bestFit="1" customWidth="1"/>
    <col min="10" max="15" width="5.21875" style="63" customWidth="1"/>
    <col min="16" max="21" width="5.21875" style="100" customWidth="1"/>
    <col min="22" max="29" width="5.21875" style="63" customWidth="1"/>
    <col min="30" max="16384" width="8.88671875" style="63"/>
  </cols>
  <sheetData>
    <row r="1" spans="1:21" x14ac:dyDescent="0.25">
      <c r="A1" s="99"/>
      <c r="I1" s="100"/>
      <c r="P1" s="63"/>
      <c r="Q1" s="63"/>
      <c r="R1" s="63"/>
      <c r="S1" s="63"/>
      <c r="T1" s="63"/>
      <c r="U1" s="63"/>
    </row>
    <row r="2" spans="1:21" ht="18.75" thickBot="1" x14ac:dyDescent="0.3">
      <c r="I2" s="100"/>
      <c r="P2" s="63"/>
      <c r="Q2" s="63"/>
      <c r="R2" s="63"/>
      <c r="S2" s="63"/>
      <c r="T2" s="63"/>
      <c r="U2" s="63"/>
    </row>
    <row r="3" spans="1:21" ht="18.75" thickBot="1" x14ac:dyDescent="0.3">
      <c r="A3" s="148" t="s">
        <v>73</v>
      </c>
      <c r="B3" s="405">
        <v>2</v>
      </c>
      <c r="C3" s="405"/>
      <c r="D3" s="406"/>
      <c r="I3" s="100"/>
      <c r="P3" s="63"/>
      <c r="Q3" s="63"/>
      <c r="R3" s="63"/>
      <c r="S3" s="63"/>
      <c r="T3" s="63"/>
      <c r="U3" s="63"/>
    </row>
    <row r="4" spans="1:21" ht="18.75" thickBot="1" x14ac:dyDescent="0.3">
      <c r="I4" s="207">
        <v>90</v>
      </c>
      <c r="J4" s="208"/>
      <c r="K4" s="208"/>
      <c r="L4" s="208"/>
      <c r="M4" s="208"/>
      <c r="N4" s="387"/>
      <c r="O4" s="388" t="s">
        <v>53</v>
      </c>
      <c r="P4" s="389"/>
      <c r="Q4" s="390"/>
      <c r="R4" s="63"/>
      <c r="S4" s="63"/>
      <c r="T4" s="63"/>
      <c r="U4" s="63"/>
    </row>
    <row r="5" spans="1:21" ht="18.75" thickBot="1" x14ac:dyDescent="0.3">
      <c r="A5" s="102" t="s">
        <v>54</v>
      </c>
      <c r="B5" s="103">
        <v>1</v>
      </c>
      <c r="C5" s="104">
        <v>2</v>
      </c>
      <c r="D5" s="104">
        <v>3</v>
      </c>
      <c r="F5" s="102" t="s">
        <v>55</v>
      </c>
      <c r="G5" s="427" t="s">
        <v>128</v>
      </c>
      <c r="H5" s="203" t="s">
        <v>4</v>
      </c>
      <c r="I5" s="207" t="s">
        <v>57</v>
      </c>
      <c r="J5" s="208"/>
      <c r="K5" s="387"/>
      <c r="L5" s="398" t="s">
        <v>58</v>
      </c>
      <c r="M5" s="399"/>
      <c r="N5" s="400"/>
      <c r="O5" s="391"/>
      <c r="P5" s="392"/>
      <c r="Q5" s="393"/>
      <c r="R5" s="63"/>
      <c r="S5" s="63"/>
      <c r="T5" s="63"/>
      <c r="U5" s="63"/>
    </row>
    <row r="6" spans="1:21" ht="18.75" thickBot="1" x14ac:dyDescent="0.3">
      <c r="A6" s="134">
        <v>4</v>
      </c>
      <c r="B6" s="106">
        <f>(((SQRT($B$5)*$B$3)/SQRT(3))*60000)/($A$6*$B$16)</f>
        <v>577.35026918962592</v>
      </c>
      <c r="C6" s="106">
        <f>(((SQRT($C$5)*$B$3)/SQRT(3))*60000)/($A$6*$B$16)</f>
        <v>816.49658092772609</v>
      </c>
      <c r="D6" s="106">
        <f>(((SQRT($D$5)*$B$3)/SQRT(3))*60000)/($A$6*$B$16)</f>
        <v>1000</v>
      </c>
      <c r="F6" s="107" t="s">
        <v>128</v>
      </c>
      <c r="G6" s="107" t="s">
        <v>156</v>
      </c>
      <c r="H6" s="430"/>
      <c r="I6" s="111">
        <v>1</v>
      </c>
      <c r="J6" s="109" t="str">
        <f>IF(I6="","","bis")</f>
        <v>bis</v>
      </c>
      <c r="K6" s="112">
        <v>6</v>
      </c>
      <c r="L6" s="111">
        <f>(((SQRT($I6)*$B$3)/SQRT(3))*60000)/($B$12*$B$16)</f>
        <v>7.6980035891950118</v>
      </c>
      <c r="M6" s="109" t="str">
        <f>IF(L6="","","bis")</f>
        <v>bis</v>
      </c>
      <c r="N6" s="112">
        <f>(((SQRT($K6)*$B$3)/SQRT(3))*60000)/($B$12*$B$16)</f>
        <v>18.856180831641264</v>
      </c>
      <c r="O6" s="113">
        <v>1</v>
      </c>
      <c r="P6" s="109" t="str">
        <f>IF(O6="","","bis")</f>
        <v>bis</v>
      </c>
      <c r="Q6" s="114">
        <v>6</v>
      </c>
      <c r="R6" s="63"/>
      <c r="S6" s="63"/>
      <c r="T6" s="63"/>
      <c r="U6" s="63"/>
    </row>
    <row r="7" spans="1:21" ht="18.75" thickBot="1" x14ac:dyDescent="0.3">
      <c r="A7" s="135">
        <v>5</v>
      </c>
      <c r="B7" s="106">
        <f>(((SQRT($B$5)*$B$3)/SQRT(3))*60000)/($A$7*$B$16)</f>
        <v>461.88021535170071</v>
      </c>
      <c r="C7" s="106">
        <f>(((SQRT($C$5)*$B$3)/SQRT(3))*60000)/($A$7*$B$16)</f>
        <v>653.19726474218089</v>
      </c>
      <c r="D7" s="106">
        <f>(((SQRT($D$5)*$B$3)/SQRT(3))*60000)/($A$7*$B$16)</f>
        <v>800</v>
      </c>
      <c r="F7" s="107" t="s">
        <v>98</v>
      </c>
      <c r="G7" s="431"/>
      <c r="H7" s="425" t="s">
        <v>234</v>
      </c>
      <c r="I7" s="111">
        <v>1.5</v>
      </c>
      <c r="J7" s="109" t="str">
        <f>IF(I7="","","bis")</f>
        <v>bis</v>
      </c>
      <c r="K7" s="112">
        <v>5</v>
      </c>
      <c r="L7" s="111">
        <f>(((SQRT($I7)*$B$3)/SQRT(3))*60000)/($B$12*$B$16)</f>
        <v>9.4280904158206322</v>
      </c>
      <c r="M7" s="109" t="str">
        <f>IF(L7="","","bis")</f>
        <v>bis</v>
      </c>
      <c r="N7" s="112">
        <f>(((SQRT($K7)*$B$3)/SQRT(3))*60000)/($B$12*$B$16)</f>
        <v>17.213259316477412</v>
      </c>
      <c r="O7" s="113">
        <v>1.5</v>
      </c>
      <c r="P7" s="109" t="str">
        <f>IF(O7="","","bis")</f>
        <v>bis</v>
      </c>
      <c r="Q7" s="114">
        <v>6</v>
      </c>
      <c r="R7" s="63"/>
      <c r="S7" s="63"/>
      <c r="T7" s="63"/>
      <c r="U7" s="63"/>
    </row>
    <row r="8" spans="1:21" ht="18.75" thickBot="1" x14ac:dyDescent="0.3">
      <c r="A8" s="135">
        <v>6</v>
      </c>
      <c r="B8" s="106">
        <f>(((SQRT($B$5)*$B$3)/SQRT(3))*60000)/($A$8*$B$16)</f>
        <v>384.90017945975058</v>
      </c>
      <c r="C8" s="106">
        <f>(((SQRT($C$5)*$B$3)/SQRT(3))*60000)/($A$8*$B$16)</f>
        <v>544.33105395181747</v>
      </c>
      <c r="D8" s="106">
        <f>(((SQRT($D$5)*$B$3)/SQRT(3))*60000)/($A$8*$B$16)</f>
        <v>666.66666666666663</v>
      </c>
      <c r="F8" s="107"/>
      <c r="G8" s="107"/>
      <c r="H8" s="425"/>
      <c r="I8" s="111"/>
      <c r="J8" s="109" t="str">
        <f>IF(I8="","","bis")</f>
        <v/>
      </c>
      <c r="K8" s="112"/>
      <c r="L8" s="111">
        <f>(((SQRT($I8)*$B$3)/SQRT(3))*60000)/($B$12*$B$16)</f>
        <v>0</v>
      </c>
      <c r="M8" s="109" t="str">
        <f>IF(L8="","","bis")</f>
        <v>bis</v>
      </c>
      <c r="N8" s="112">
        <f>(((SQRT($K8)*$B$3)/SQRT(3))*60000)/($B$12*$B$16)</f>
        <v>0</v>
      </c>
      <c r="O8" s="113"/>
      <c r="P8" s="109" t="str">
        <f>IF(O8="","","bis")</f>
        <v/>
      </c>
      <c r="Q8" s="114"/>
      <c r="R8" s="63"/>
      <c r="S8" s="63"/>
      <c r="T8" s="63"/>
      <c r="U8" s="63"/>
    </row>
    <row r="9" spans="1:21" ht="18.75" thickBot="1" x14ac:dyDescent="0.3">
      <c r="A9" s="135">
        <v>7</v>
      </c>
      <c r="B9" s="106">
        <f>(((SQRT($B$5)*$B$3)/SQRT(3))*60000)/($A$9*$B$16)</f>
        <v>329.91443953692908</v>
      </c>
      <c r="C9" s="106">
        <f>(((SQRT($C$5)*$B$3)/SQRT(3))*60000)/($A$9*$B$16)</f>
        <v>466.56947481584348</v>
      </c>
      <c r="D9" s="106">
        <f>(((SQRT($D$5)*$B$3)/SQRT(3))*60000)/($A$9*$B$16)</f>
        <v>571.42857142857144</v>
      </c>
      <c r="F9" s="107"/>
      <c r="G9" s="107"/>
      <c r="H9" s="425"/>
      <c r="I9" s="111"/>
      <c r="J9" s="109" t="str">
        <f>IF(I9="","","bis")</f>
        <v/>
      </c>
      <c r="K9" s="110"/>
      <c r="L9" s="111">
        <f>(((SQRT($I9)*$B$3)/SQRT(3))*60000)/($B$12*$B$16)</f>
        <v>0</v>
      </c>
      <c r="M9" s="109" t="str">
        <f>IF(L9="","","bis")</f>
        <v>bis</v>
      </c>
      <c r="N9" s="112">
        <f>(((SQRT($K9)*$B$3)/SQRT(3))*60000)/($B$12*$B$16)</f>
        <v>0</v>
      </c>
      <c r="O9" s="113"/>
      <c r="P9" s="109" t="str">
        <f>IF(O9="","","bis")</f>
        <v/>
      </c>
      <c r="Q9" s="114"/>
      <c r="R9" s="63"/>
      <c r="S9" s="63"/>
      <c r="T9" s="63"/>
      <c r="U9" s="63"/>
    </row>
    <row r="10" spans="1:21" ht="18.75" thickBot="1" x14ac:dyDescent="0.3">
      <c r="A10" s="136">
        <v>8</v>
      </c>
      <c r="B10" s="115">
        <f>(((SQRT($B$5)*$B$3)/SQRT(3))*60000)/($A$10*$B$16)</f>
        <v>288.67513459481296</v>
      </c>
      <c r="C10" s="115">
        <f>(((SQRT($C$5)*$B$3)/SQRT(3))*60000)/($A$10*$B$16)</f>
        <v>408.24829046386304</v>
      </c>
      <c r="D10" s="115">
        <f>(((SQRT($D$5)*$B$3)/SQRT(3))*60000)/($A$10*$B$16)</f>
        <v>500</v>
      </c>
      <c r="F10" s="107"/>
      <c r="G10" s="107"/>
      <c r="H10" s="425"/>
      <c r="I10" s="111"/>
      <c r="J10" s="109" t="str">
        <f>IF(I10="","","bis")</f>
        <v/>
      </c>
      <c r="K10" s="112"/>
      <c r="L10" s="111">
        <f>(((SQRT($I10)*$B$3)/SQRT(3))*60000)/($B$12*$B$16)</f>
        <v>0</v>
      </c>
      <c r="M10" s="109" t="str">
        <f>IF(L10="","","bis")</f>
        <v>bis</v>
      </c>
      <c r="N10" s="112">
        <f>(((SQRT($K10)*$B$3)/SQRT(3))*60000)/($B$12*$B$16)</f>
        <v>0</v>
      </c>
      <c r="O10" s="113"/>
      <c r="P10" s="109" t="str">
        <f>IF(O10="","","bis")</f>
        <v/>
      </c>
      <c r="Q10" s="114"/>
      <c r="R10" s="63"/>
      <c r="S10" s="63"/>
      <c r="T10" s="63"/>
      <c r="U10" s="63"/>
    </row>
    <row r="11" spans="1:21" ht="18.75" thickBot="1" x14ac:dyDescent="0.3">
      <c r="K11" s="116"/>
    </row>
    <row r="12" spans="1:21" ht="18.75" thickBot="1" x14ac:dyDescent="0.3">
      <c r="A12" s="117" t="s">
        <v>60</v>
      </c>
      <c r="B12" s="64">
        <v>300</v>
      </c>
      <c r="C12" s="66"/>
      <c r="D12" s="417"/>
      <c r="E12" s="417"/>
      <c r="F12" s="123"/>
      <c r="G12" s="119"/>
      <c r="H12" s="119"/>
    </row>
    <row r="13" spans="1:21" ht="18.75" thickBot="1" x14ac:dyDescent="0.3">
      <c r="A13" s="117" t="s">
        <v>61</v>
      </c>
      <c r="B13" s="120">
        <f>POWER(((SQRT(3)*$C$13)/$B$3),2)</f>
        <v>0.421875</v>
      </c>
      <c r="C13" s="121">
        <f>(B12*B14*B16)/60000</f>
        <v>0.75</v>
      </c>
      <c r="D13" s="418"/>
      <c r="E13" s="418"/>
      <c r="F13" s="123"/>
      <c r="G13" s="119"/>
      <c r="H13" s="119"/>
    </row>
    <row r="14" spans="1:21" ht="18.75" thickBot="1" x14ac:dyDescent="0.3">
      <c r="A14" s="117" t="s">
        <v>62</v>
      </c>
      <c r="B14" s="78">
        <v>5</v>
      </c>
      <c r="D14" s="140"/>
      <c r="E14" s="119"/>
      <c r="F14" s="137"/>
      <c r="G14" s="119"/>
      <c r="H14" s="119"/>
    </row>
    <row r="15" spans="1:21" ht="18.75" thickBot="1" x14ac:dyDescent="0.3">
      <c r="A15" s="117"/>
      <c r="B15" s="123"/>
      <c r="C15" s="124"/>
      <c r="D15" s="417"/>
      <c r="E15" s="417"/>
      <c r="F15" s="138"/>
      <c r="G15" s="138"/>
      <c r="H15" s="138"/>
    </row>
    <row r="16" spans="1:21" ht="18.75" thickBot="1" x14ac:dyDescent="0.3">
      <c r="A16" s="125" t="s">
        <v>63</v>
      </c>
      <c r="B16" s="126">
        <v>30</v>
      </c>
    </row>
    <row r="17" spans="1:3" ht="18.75" thickBot="1" x14ac:dyDescent="0.3">
      <c r="A17" s="122" t="s">
        <v>64</v>
      </c>
      <c r="B17" s="126">
        <v>120</v>
      </c>
    </row>
    <row r="18" spans="1:3" ht="18.75" thickBot="1" x14ac:dyDescent="0.3">
      <c r="A18" s="127" t="s">
        <v>65</v>
      </c>
      <c r="B18" s="128">
        <f>(B16*100)/B17</f>
        <v>25</v>
      </c>
    </row>
    <row r="19" spans="1:3" ht="18.75" thickBot="1" x14ac:dyDescent="0.3">
      <c r="A19" s="125" t="s">
        <v>66</v>
      </c>
      <c r="B19" s="129">
        <v>3</v>
      </c>
      <c r="C19" s="130">
        <f>(B16/B17)*B19</f>
        <v>0.75</v>
      </c>
    </row>
    <row r="20" spans="1:3" ht="18.75" thickBot="1" x14ac:dyDescent="0.3">
      <c r="A20" s="63" t="s">
        <v>67</v>
      </c>
      <c r="B20" s="131">
        <v>3</v>
      </c>
      <c r="C20" s="132">
        <f>(B20*C19)</f>
        <v>2.25</v>
      </c>
    </row>
    <row r="21" spans="1:3" ht="18.75" thickBot="1" x14ac:dyDescent="0.3">
      <c r="A21" s="63" t="s">
        <v>80</v>
      </c>
      <c r="C21" s="151">
        <f>(B12*C19)/1</f>
        <v>225</v>
      </c>
    </row>
  </sheetData>
  <sheetProtection algorithmName="SHA-512" hashValue="9RB+CSEq+MR9zxLtmGHoZwqd2oVKHhzmLkgZmpkl7ozkVan2Kp8D7bOUHlPOqLvuelixQJWqlb8at/bFtoDEag==" saltValue="mnXqT3LO9iRgaKOxlx6tQA==" spinCount="100000" sheet="1" objects="1" scenarios="1"/>
  <mergeCells count="8">
    <mergeCell ref="D13:E13"/>
    <mergeCell ref="D15:E15"/>
    <mergeCell ref="B3:D3"/>
    <mergeCell ref="I4:N4"/>
    <mergeCell ref="O4:Q5"/>
    <mergeCell ref="I5:K5"/>
    <mergeCell ref="L5:N5"/>
    <mergeCell ref="D12:E12"/>
  </mergeCells>
  <conditionalFormatting sqref="B6">
    <cfRule type="cellIs" dxfId="44" priority="15" operator="greaterThan">
      <formula>$B$12</formula>
    </cfRule>
  </conditionalFormatting>
  <conditionalFormatting sqref="C6">
    <cfRule type="cellIs" dxfId="43" priority="14" operator="greaterThan">
      <formula>$B$12</formula>
    </cfRule>
  </conditionalFormatting>
  <conditionalFormatting sqref="D6">
    <cfRule type="cellIs" dxfId="42" priority="13" operator="greaterThan">
      <formula>$B$12</formula>
    </cfRule>
  </conditionalFormatting>
  <conditionalFormatting sqref="B7">
    <cfRule type="cellIs" dxfId="41" priority="12" operator="greaterThan">
      <formula>$B$12</formula>
    </cfRule>
  </conditionalFormatting>
  <conditionalFormatting sqref="C7">
    <cfRule type="cellIs" dxfId="40" priority="11" operator="greaterThan">
      <formula>$B$12</formula>
    </cfRule>
  </conditionalFormatting>
  <conditionalFormatting sqref="D7">
    <cfRule type="cellIs" dxfId="39" priority="10" operator="greaterThan">
      <formula>$B$12</formula>
    </cfRule>
  </conditionalFormatting>
  <conditionalFormatting sqref="B8">
    <cfRule type="cellIs" dxfId="38" priority="9" operator="greaterThan">
      <formula>$B$12</formula>
    </cfRule>
  </conditionalFormatting>
  <conditionalFormatting sqref="C8">
    <cfRule type="cellIs" dxfId="37" priority="8" operator="greaterThan">
      <formula>$B$12</formula>
    </cfRule>
  </conditionalFormatting>
  <conditionalFormatting sqref="D8">
    <cfRule type="cellIs" dxfId="36" priority="7" operator="greaterThan">
      <formula>$B$12</formula>
    </cfRule>
  </conditionalFormatting>
  <conditionalFormatting sqref="B9">
    <cfRule type="cellIs" dxfId="35" priority="6" operator="greaterThan">
      <formula>$B$12</formula>
    </cfRule>
  </conditionalFormatting>
  <conditionalFormatting sqref="B10">
    <cfRule type="cellIs" dxfId="34" priority="5" operator="greaterThan">
      <formula>$B$12</formula>
    </cfRule>
  </conditionalFormatting>
  <conditionalFormatting sqref="C9">
    <cfRule type="cellIs" dxfId="33" priority="4" operator="greaterThan">
      <formula>$B$12</formula>
    </cfRule>
  </conditionalFormatting>
  <conditionalFormatting sqref="D9">
    <cfRule type="cellIs" dxfId="32" priority="3" operator="greaterThan">
      <formula>$B$12</formula>
    </cfRule>
  </conditionalFormatting>
  <conditionalFormatting sqref="C10">
    <cfRule type="cellIs" dxfId="31" priority="2" operator="greaterThan">
      <formula>$B$12</formula>
    </cfRule>
  </conditionalFormatting>
  <conditionalFormatting sqref="D10">
    <cfRule type="cellIs" dxfId="30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>
      <selection activeCell="A3" sqref="A3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11.8867187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9" t="s">
        <v>75</v>
      </c>
      <c r="B3" s="413">
        <v>2.4</v>
      </c>
      <c r="C3" s="413"/>
      <c r="D3" s="414"/>
      <c r="E3" s="63" t="s">
        <v>76</v>
      </c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3</v>
      </c>
      <c r="D5" s="104">
        <v>6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277.12812921102039</v>
      </c>
      <c r="C6" s="106">
        <f>(((SQRT(C5)*$B$3)/SQRT(3))*$C$15)/$A6</f>
        <v>480</v>
      </c>
      <c r="D6" s="106">
        <f>(((SQRT(D5)*$B$3)/SQRT(3))*$C$15)/$A6</f>
        <v>678.82250993908565</v>
      </c>
      <c r="F6" s="107" t="str">
        <f>_1936b</f>
        <v>Lechler</v>
      </c>
      <c r="G6" s="107" t="str">
        <f>_1936c</f>
        <v>IDK 120 06</v>
      </c>
      <c r="H6" s="108">
        <f>_1936h</f>
        <v>1</v>
      </c>
      <c r="I6" s="109" t="str">
        <f>IF(H6="","","bis")</f>
        <v>bis</v>
      </c>
      <c r="J6" s="110">
        <f>_1936i</f>
        <v>6</v>
      </c>
      <c r="K6" s="111">
        <f>(((SQRT($H6)*$B$3)/SQRT(3))*60000)/($B$12*$B$15)</f>
        <v>8.3138438763306119</v>
      </c>
      <c r="L6" s="109" t="str">
        <f>IF(K6="","","bis")</f>
        <v>bis</v>
      </c>
      <c r="M6" s="112">
        <f>(((SQRT($J6)*$B$3)/SQRT(3))*60000)/($B$12*$B$15)</f>
        <v>20.364675298172568</v>
      </c>
      <c r="N6" s="110">
        <f>_1936j</f>
        <v>1</v>
      </c>
      <c r="O6" s="109" t="str">
        <f>IF(N6="","","bis")</f>
        <v>bis</v>
      </c>
      <c r="P6" s="112">
        <f>_1936k</f>
        <v>3</v>
      </c>
      <c r="Q6" s="111">
        <f>(((SQRT($N6)*$B$3)/SQRT(3))*60000)/($B$12*$B$15)</f>
        <v>8.3138438763306119</v>
      </c>
      <c r="R6" s="109" t="str">
        <f>IF(Q6="","","bis")</f>
        <v>bis</v>
      </c>
      <c r="S6" s="112">
        <f>(((SQRT($P6)*$B$3)/SQRT(3))*60000)/($B$12*$B$15)</f>
        <v>14.4</v>
      </c>
      <c r="T6" s="111">
        <f>_1936l</f>
        <v>1</v>
      </c>
      <c r="U6" s="109" t="str">
        <f>IF(T6="","","bis")</f>
        <v>bis</v>
      </c>
      <c r="V6" s="110">
        <f>_1936m</f>
        <v>1</v>
      </c>
      <c r="W6" s="111">
        <f>(((SQRT($T6)*$B$3)/SQRT(3))*60000)/($B$12*$B$15)</f>
        <v>8.3138438763306119</v>
      </c>
      <c r="X6" s="109" t="str">
        <f>IF(W6="","","bis")</f>
        <v>bis</v>
      </c>
      <c r="Y6" s="110">
        <f>(((SQRT($V6)*$B$3)/SQRT(3))*60000)/($B$12*$B$15)</f>
        <v>8.3138438763306119</v>
      </c>
      <c r="Z6" s="113">
        <f>_1936f</f>
        <v>1</v>
      </c>
      <c r="AA6" s="109" t="str">
        <f>IF(Z6="","","bis")</f>
        <v>bis</v>
      </c>
      <c r="AB6" s="114">
        <f>_1936g</f>
        <v>6</v>
      </c>
    </row>
    <row r="7" spans="1:28" ht="18.75" thickBot="1" x14ac:dyDescent="0.3">
      <c r="A7" s="135">
        <v>7</v>
      </c>
      <c r="B7" s="106">
        <f>(((SQRT(B5)*$B$3)/SQRT(3))*$C$15)/$A7</f>
        <v>237.53839646658889</v>
      </c>
      <c r="C7" s="106">
        <f>(((SQRT(C5)*$B$3)/SQRT(3))*$C$15)/$A7</f>
        <v>411.42857142857144</v>
      </c>
      <c r="D7" s="106">
        <f>(((SQRT(D5)*$B$3)/SQRT(3))*$C$15)/$A7</f>
        <v>581.84786566207345</v>
      </c>
      <c r="F7" s="107"/>
      <c r="G7" s="107"/>
      <c r="H7" s="108"/>
      <c r="I7" s="109" t="str">
        <f>IF(H7="","","bis")</f>
        <v/>
      </c>
      <c r="J7" s="112"/>
      <c r="K7" s="111">
        <f>(((SQRT($H7)*$B$3)/SQRT(3))*60000)/($B$12*$B$15)</f>
        <v>0</v>
      </c>
      <c r="L7" s="109" t="str">
        <f>IF(K7="","","bis")</f>
        <v>bis</v>
      </c>
      <c r="M7" s="112">
        <f>(((SQRT($J7)*$B$3)/SQRT(3))*60000)/($B$12*$B$15)</f>
        <v>0</v>
      </c>
      <c r="N7" s="111"/>
      <c r="O7" s="109" t="str">
        <f>IF(N7="","","bis")</f>
        <v/>
      </c>
      <c r="P7" s="112"/>
      <c r="Q7" s="111">
        <f>(((SQRT($N7)*$B$3)/SQRT(3))*60000)/($B$12*$B$15)</f>
        <v>0</v>
      </c>
      <c r="R7" s="109" t="str">
        <f>IF(Q7="","","bis")</f>
        <v>bis</v>
      </c>
      <c r="S7" s="112">
        <f>(((SQRT($P7)*$B$3)/SQRT(3))*60000)/($B$12*$B$15)</f>
        <v>0</v>
      </c>
      <c r="T7" s="111"/>
      <c r="U7" s="109" t="str">
        <f>IF(T7="","","bis")</f>
        <v/>
      </c>
      <c r="V7" s="112"/>
      <c r="W7" s="111">
        <f>(((SQRT($T7)*$B$3)/SQRT(3))*60000)/($B$12*$B$15)</f>
        <v>0</v>
      </c>
      <c r="X7" s="109" t="str">
        <f>IF(W7="","","bis")</f>
        <v>bis</v>
      </c>
      <c r="Y7" s="112">
        <f>(((SQRT($V7)*$B$3)/SQRT(3))*60000)/($B$12*$B$15)</f>
        <v>0</v>
      </c>
      <c r="Z7" s="113"/>
      <c r="AA7" s="109" t="str">
        <f>IF(Z7="","","bis")</f>
        <v/>
      </c>
      <c r="AB7" s="114"/>
    </row>
    <row r="8" spans="1:28" ht="18.75" thickBot="1" x14ac:dyDescent="0.3">
      <c r="A8" s="135">
        <v>8</v>
      </c>
      <c r="B8" s="106">
        <f>(((SQRT(B5)*$B$3)/SQRT(3))*$C$15)/$A8</f>
        <v>207.84609690826528</v>
      </c>
      <c r="C8" s="106">
        <f>(((SQRT(C5)*$B$3)/SQRT(3))*1200)/$A8</f>
        <v>360</v>
      </c>
      <c r="D8" s="106">
        <f>(((SQRT(D5)*$B$3)/SQRT(3))*1200)/$A8</f>
        <v>509.11688245431424</v>
      </c>
      <c r="F8" s="107"/>
      <c r="G8" s="107"/>
      <c r="H8" s="108"/>
      <c r="I8" s="109" t="str">
        <f>IF(H8="","","bis")</f>
        <v/>
      </c>
      <c r="J8" s="112"/>
      <c r="K8" s="111">
        <f>(((SQRT($H8)*$B$3)/SQRT(3))*60000)/($B$12*$B$15)</f>
        <v>0</v>
      </c>
      <c r="L8" s="109" t="str">
        <f>IF(K8="","","bis")</f>
        <v>bis</v>
      </c>
      <c r="M8" s="112">
        <f>(((SQRT($J8)*$B$3)/SQRT(3))*60000)/($B$12*$B$15)</f>
        <v>0</v>
      </c>
      <c r="N8" s="111"/>
      <c r="O8" s="109" t="str">
        <f>IF(N8="","","bis")</f>
        <v/>
      </c>
      <c r="P8" s="112"/>
      <c r="Q8" s="111">
        <f>(((SQRT($N8)*$B$3)/SQRT(3))*60000)/($B$12*$B$15)</f>
        <v>0</v>
      </c>
      <c r="R8" s="109" t="str">
        <f>IF(Q8="","","bis")</f>
        <v>bis</v>
      </c>
      <c r="S8" s="112">
        <f>(((SQRT($P8)*$B$3)/SQRT(3))*60000)/($B$12*$B$15)</f>
        <v>0</v>
      </c>
      <c r="T8" s="111"/>
      <c r="U8" s="109" t="str">
        <f>IF(T8="","","bis")</f>
        <v/>
      </c>
      <c r="V8" s="112"/>
      <c r="W8" s="111">
        <f>(((SQRT($T8)*$B$3)/SQRT(3))*60000)/($B$12*$B$15)</f>
        <v>0</v>
      </c>
      <c r="X8" s="109" t="str">
        <f>IF(W8="","","bis")</f>
        <v>bis</v>
      </c>
      <c r="Y8" s="112">
        <f>(((SQRT($V8)*$B$3)/SQRT(3))*60000)/($B$12*$B$15)</f>
        <v>0</v>
      </c>
      <c r="Z8" s="113"/>
      <c r="AA8" s="109" t="str">
        <f>IF(Z8="","","bis")</f>
        <v/>
      </c>
      <c r="AB8" s="114"/>
    </row>
    <row r="9" spans="1:28" ht="18.75" thickBot="1" x14ac:dyDescent="0.3">
      <c r="A9" s="135">
        <v>9</v>
      </c>
      <c r="B9" s="106">
        <f>(((SQRT(B5)*$B$3)/SQRT(3))*$C$15)/$A9</f>
        <v>184.75208614068026</v>
      </c>
      <c r="C9" s="106">
        <f>(((SQRT(C5)*$B$3)/SQRT(3))*$C$15)/$A9</f>
        <v>320</v>
      </c>
      <c r="D9" s="106">
        <f>(((SQRT(D5)*$B$3)/SQRT(3))*$C$15)/$A9</f>
        <v>452.54833995939043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(((SQRT($H9)*$B$3)/SQRT(3))*60000)/($B$12*$B$15)</f>
        <v>0</v>
      </c>
      <c r="L9" s="109" t="str">
        <f>IF(K9="","","bis")</f>
        <v>bis</v>
      </c>
      <c r="M9" s="112">
        <f>(((SQRT($J9)*$B$3)/SQRT(3))*60000)/($B$12*$B$15)</f>
        <v>0</v>
      </c>
      <c r="N9" s="111"/>
      <c r="O9" s="109" t="str">
        <f>IF(N9="","","bis")</f>
        <v/>
      </c>
      <c r="P9" s="112"/>
      <c r="Q9" s="111">
        <f>(((SQRT($N9)*$B$3)/SQRT(3))*60000)/($B$12*$B$15)</f>
        <v>0</v>
      </c>
      <c r="R9" s="109" t="str">
        <f>IF(Q9="","","bis")</f>
        <v>bis</v>
      </c>
      <c r="S9" s="112">
        <f>(((SQRT($P9)*$B$3)/SQRT(3))*60000)/($B$12*$B$15)</f>
        <v>0</v>
      </c>
      <c r="T9" s="111"/>
      <c r="U9" s="109" t="str">
        <f>IF(T9="","","bis")</f>
        <v/>
      </c>
      <c r="V9" s="110"/>
      <c r="W9" s="111">
        <f>(((SQRT($T9)*$B$3)/SQRT(3))*60000)/($B$12*$B$15)</f>
        <v>0</v>
      </c>
      <c r="X9" s="109" t="str">
        <f>IF(W9="","","bis")</f>
        <v>bis</v>
      </c>
      <c r="Y9" s="112">
        <f>(((SQRT($V9)*$B$3)/SQRT(3))*60000)/($B$12*$B$15)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10</v>
      </c>
      <c r="B10" s="115">
        <f>(((SQRT(B5)*$B$3)/SQRT(3))*$C$15)/$A10</f>
        <v>166.27687752661222</v>
      </c>
      <c r="C10" s="115">
        <f>(((SQRT(C5)*$B$3)/SQRT(3))*$C$15)/$A10</f>
        <v>288</v>
      </c>
      <c r="D10" s="115">
        <f>(((SQRT(D5)*$B$3)/SQRT(3))*$C$15)/$A10</f>
        <v>407.29350596345137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0.36168981481481477</v>
      </c>
      <c r="C13" s="124">
        <f>(B12*B14*B15)/60000</f>
        <v>0.83333333333333337</v>
      </c>
      <c r="D13" s="120">
        <f>POWER(((SQRT(3)*$E$13)/$B$3),2)</f>
        <v>4.4307002314814801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i3NLz+UUHy4E4v+nfiYvJ0lRgn0EVAotlfszqKapAxf0T/4EZhRlHFhzs+eeaVytkk6ZcMzY0SbWiDEJMv3SDQ==" saltValue="wDCpvr3LAhKpwVpdjKGpIA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269" priority="8" operator="greaterThan">
      <formula>$B$12</formula>
    </cfRule>
  </conditionalFormatting>
  <conditionalFormatting sqref="C6">
    <cfRule type="cellIs" dxfId="268" priority="14" operator="greaterThan">
      <formula>$B$12</formula>
    </cfRule>
  </conditionalFormatting>
  <conditionalFormatting sqref="B6">
    <cfRule type="cellIs" dxfId="267" priority="15" operator="greaterThan">
      <formula>$B$12</formula>
    </cfRule>
  </conditionalFormatting>
  <conditionalFormatting sqref="B7">
    <cfRule type="cellIs" dxfId="266" priority="12" operator="greaterThan">
      <formula>$B$12</formula>
    </cfRule>
  </conditionalFormatting>
  <conditionalFormatting sqref="D10">
    <cfRule type="cellIs" dxfId="265" priority="1" operator="greaterThan">
      <formula>$B$12</formula>
    </cfRule>
  </conditionalFormatting>
  <conditionalFormatting sqref="D6">
    <cfRule type="cellIs" dxfId="264" priority="13" operator="greaterThan">
      <formula>$B$12</formula>
    </cfRule>
  </conditionalFormatting>
  <conditionalFormatting sqref="C7">
    <cfRule type="cellIs" dxfId="263" priority="11" operator="greaterThan">
      <formula>$B$12</formula>
    </cfRule>
  </conditionalFormatting>
  <conditionalFormatting sqref="D7">
    <cfRule type="cellIs" dxfId="262" priority="10" operator="greaterThan">
      <formula>$B$12</formula>
    </cfRule>
  </conditionalFormatting>
  <conditionalFormatting sqref="B8">
    <cfRule type="cellIs" dxfId="261" priority="9" operator="greaterThan">
      <formula>$B$12</formula>
    </cfRule>
  </conditionalFormatting>
  <conditionalFormatting sqref="B10">
    <cfRule type="cellIs" dxfId="260" priority="7" operator="greaterThan">
      <formula>$B$12</formula>
    </cfRule>
  </conditionalFormatting>
  <conditionalFormatting sqref="C8">
    <cfRule type="cellIs" dxfId="259" priority="6" operator="greaterThan">
      <formula>$B$12</formula>
    </cfRule>
  </conditionalFormatting>
  <conditionalFormatting sqref="D8">
    <cfRule type="cellIs" dxfId="258" priority="5" operator="greaterThan">
      <formula>$B$12</formula>
    </cfRule>
  </conditionalFormatting>
  <conditionalFormatting sqref="C9">
    <cfRule type="cellIs" dxfId="257" priority="4" operator="greaterThan">
      <formula>$B$12</formula>
    </cfRule>
  </conditionalFormatting>
  <conditionalFormatting sqref="D9">
    <cfRule type="cellIs" dxfId="256" priority="3" operator="greaterThan">
      <formula>$B$12</formula>
    </cfRule>
  </conditionalFormatting>
  <conditionalFormatting sqref="C10">
    <cfRule type="cellIs" dxfId="255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16.77734375" style="63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9" t="s">
        <v>75</v>
      </c>
      <c r="B3" s="413">
        <v>2.4</v>
      </c>
      <c r="C3" s="413"/>
      <c r="D3" s="414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2</v>
      </c>
      <c r="C5" s="104">
        <v>5</v>
      </c>
      <c r="D5" s="104">
        <v>8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391.91835884530855</v>
      </c>
      <c r="C6" s="106">
        <f>(((SQRT(C5)*$B$3)/SQRT(3))*$C$15)/$A6</f>
        <v>619.6773353931867</v>
      </c>
      <c r="D6" s="106">
        <f>(((SQRT(D5)*$B$3)/SQRT(3))*$C$15)/$A6</f>
        <v>783.83671769061709</v>
      </c>
      <c r="F6" s="107" t="str">
        <f>_2088b</f>
        <v>Lechler</v>
      </c>
      <c r="G6" s="107" t="str">
        <f>_2088c</f>
        <v>ID (3) 120 06</v>
      </c>
      <c r="H6" s="108">
        <f>_2088h</f>
        <v>2</v>
      </c>
      <c r="I6" s="109" t="str">
        <f>IF(H6="","","bis")</f>
        <v>bis</v>
      </c>
      <c r="J6" s="110">
        <f>_2088i</f>
        <v>8</v>
      </c>
      <c r="K6" s="111">
        <f>(((SQRT($H6)*$B$3)/SQRT(3))*60000)/($B$12*$B$15)</f>
        <v>11.757550765359257</v>
      </c>
      <c r="L6" s="109" t="str">
        <f>IF(K6="","","bis")</f>
        <v>bis</v>
      </c>
      <c r="M6" s="112">
        <f>(((SQRT($J6)*$B$3)/SQRT(3))*60000)/($B$12*$B$15)</f>
        <v>23.515101530718514</v>
      </c>
      <c r="N6" s="110">
        <f>_2088j</f>
        <v>2</v>
      </c>
      <c r="O6" s="109" t="str">
        <f>IF(N6="","","bis")</f>
        <v>bis</v>
      </c>
      <c r="P6" s="112">
        <f>_2088k</f>
        <v>8</v>
      </c>
      <c r="Q6" s="111">
        <f>(((SQRT($N6)*$B$3)/SQRT(3))*60000)/($B$12*$B$15)</f>
        <v>11.757550765359257</v>
      </c>
      <c r="R6" s="109" t="str">
        <f>IF(Q6="","","bis")</f>
        <v>bis</v>
      </c>
      <c r="S6" s="112">
        <f>(((SQRT($P6)*$B$3)/SQRT(3))*60000)/($B$12*$B$15)</f>
        <v>23.515101530718514</v>
      </c>
      <c r="T6" s="111">
        <f>_2088l</f>
        <v>2</v>
      </c>
      <c r="U6" s="109" t="str">
        <f>IF(T6="","","bis")</f>
        <v>bis</v>
      </c>
      <c r="V6" s="110">
        <f>_2088m</f>
        <v>6</v>
      </c>
      <c r="W6" s="111">
        <f>(((SQRT($T6)*$B$3)/SQRT(3))*60000)/($B$12*$B$15)</f>
        <v>11.757550765359257</v>
      </c>
      <c r="X6" s="109" t="str">
        <f>IF(W6="","","bis")</f>
        <v>bis</v>
      </c>
      <c r="Y6" s="110">
        <f>(((SQRT($V6)*$B$3)/SQRT(3))*60000)/($B$12*$B$15)</f>
        <v>20.364675298172568</v>
      </c>
      <c r="Z6" s="113">
        <f>_2088f</f>
        <v>2</v>
      </c>
      <c r="AA6" s="109" t="str">
        <f>IF(Z6="","","bis")</f>
        <v>bis</v>
      </c>
      <c r="AB6" s="114">
        <f>_2088g</f>
        <v>8</v>
      </c>
    </row>
    <row r="7" spans="1:28" ht="18.75" thickBot="1" x14ac:dyDescent="0.3">
      <c r="A7" s="135">
        <v>7</v>
      </c>
      <c r="B7" s="106">
        <f>(((SQRT(B5)*$B$3)/SQRT(3))*$C$15)/$A7</f>
        <v>335.93002186740733</v>
      </c>
      <c r="C7" s="106">
        <f>(((SQRT(C5)*$B$3)/SQRT(3))*$C$15)/$A7</f>
        <v>531.15200176558858</v>
      </c>
      <c r="D7" s="106">
        <f>(((SQRT(D5)*$B$3)/SQRT(3))*$C$15)/$A7</f>
        <v>671.86004373481467</v>
      </c>
      <c r="F7" s="107" t="str">
        <f>_1947b</f>
        <v>TeeJet</v>
      </c>
      <c r="G7" s="107" t="str">
        <f>_1947c</f>
        <v>TTI 110 06</v>
      </c>
      <c r="H7" s="108">
        <f>_1947h</f>
        <v>1</v>
      </c>
      <c r="I7" s="109" t="str">
        <f>IF(H7="","","bis")</f>
        <v>bis</v>
      </c>
      <c r="J7" s="112">
        <f>_1947i</f>
        <v>7</v>
      </c>
      <c r="K7" s="111">
        <f>(((SQRT($H7)*$B$3)/SQRT(3))*60000)/($B$12*$B$15)</f>
        <v>8.3138438763306119</v>
      </c>
      <c r="L7" s="109" t="str">
        <f>IF(K7="","","bis")</f>
        <v>bis</v>
      </c>
      <c r="M7" s="112">
        <f>(((SQRT($J7)*$B$3)/SQRT(3))*60000)/($B$12*$B$15)</f>
        <v>21.996363335788036</v>
      </c>
      <c r="N7" s="111">
        <f>_1947j</f>
        <v>1</v>
      </c>
      <c r="O7" s="109" t="str">
        <f>IF(N7="","","bis")</f>
        <v>bis</v>
      </c>
      <c r="P7" s="112">
        <f>_1947k</f>
        <v>4</v>
      </c>
      <c r="Q7" s="111">
        <f>(((SQRT($N7)*$B$3)/SQRT(3))*60000)/($B$12*$B$15)</f>
        <v>8.3138438763306119</v>
      </c>
      <c r="R7" s="109" t="str">
        <f>IF(Q7="","","bis")</f>
        <v>bis</v>
      </c>
      <c r="S7" s="112">
        <f>(((SQRT($P7)*$B$3)/SQRT(3))*60000)/($B$12*$B$15)</f>
        <v>16.627687752661224</v>
      </c>
      <c r="T7" s="111">
        <f>_1947l</f>
        <v>1</v>
      </c>
      <c r="U7" s="109" t="str">
        <f>IF(T7="","","bis")</f>
        <v>bis</v>
      </c>
      <c r="V7" s="112">
        <f>_1947m</f>
        <v>3</v>
      </c>
      <c r="W7" s="111">
        <f>(((SQRT($T7)*$B$3)/SQRT(3))*60000)/($B$12*$B$15)</f>
        <v>8.3138438763306119</v>
      </c>
      <c r="X7" s="109" t="str">
        <f>IF(W7="","","bis")</f>
        <v>bis</v>
      </c>
      <c r="Y7" s="112">
        <f>(((SQRT($V7)*$B$3)/SQRT(3))*60000)/($B$12*$B$15)</f>
        <v>14.4</v>
      </c>
      <c r="Z7" s="113">
        <f>_1947f</f>
        <v>1</v>
      </c>
      <c r="AA7" s="109" t="str">
        <f>IF(Z7="","","bis")</f>
        <v>bis</v>
      </c>
      <c r="AB7" s="114">
        <f>_1947g</f>
        <v>7</v>
      </c>
    </row>
    <row r="8" spans="1:28" ht="18.75" thickBot="1" x14ac:dyDescent="0.3">
      <c r="A8" s="135">
        <v>8</v>
      </c>
      <c r="B8" s="106">
        <f>(((SQRT(B5)*$B$3)/SQRT(3))*$C$15)/$A8</f>
        <v>293.9387691339814</v>
      </c>
      <c r="C8" s="106">
        <f>(((SQRT(C5)*$B$3)/SQRT(3))*1200)/$A8</f>
        <v>464.75800154489002</v>
      </c>
      <c r="D8" s="106">
        <f>(((SQRT(D5)*$B$3)/SQRT(3))*1200)/$A8</f>
        <v>587.87753826796279</v>
      </c>
      <c r="F8" s="107" t="str">
        <f>_2189b</f>
        <v>Wilger</v>
      </c>
      <c r="G8" s="107" t="str">
        <f>_2189c</f>
        <v>UR 110 06</v>
      </c>
      <c r="H8" s="108">
        <f>_2189h</f>
        <v>2</v>
      </c>
      <c r="I8" s="109" t="str">
        <f>IF(H8="","","bis")</f>
        <v>bis</v>
      </c>
      <c r="J8" s="112">
        <f>_2189i</f>
        <v>6</v>
      </c>
      <c r="K8" s="111">
        <f>(((SQRT($H8)*$B$3)/SQRT(3))*60000)/($B$12*$B$15)</f>
        <v>11.757550765359257</v>
      </c>
      <c r="L8" s="109" t="str">
        <f>IF(K8="","","bis")</f>
        <v>bis</v>
      </c>
      <c r="M8" s="112">
        <f>(((SQRT($J8)*$B$3)/SQRT(3))*60000)/($B$12*$B$15)</f>
        <v>20.364675298172568</v>
      </c>
      <c r="N8" s="111">
        <f>_2189j</f>
        <v>2</v>
      </c>
      <c r="O8" s="109" t="str">
        <f>IF(N8="","","bis")</f>
        <v>bis</v>
      </c>
      <c r="P8" s="112">
        <f>_2189k</f>
        <v>6</v>
      </c>
      <c r="Q8" s="111">
        <f>(((SQRT($N8)*$B$3)/SQRT(3))*60000)/($B$12*$B$15)</f>
        <v>11.757550765359257</v>
      </c>
      <c r="R8" s="109" t="str">
        <f>IF(Q8="","","bis")</f>
        <v>bis</v>
      </c>
      <c r="S8" s="112">
        <f>(((SQRT($P8)*$B$3)/SQRT(3))*60000)/($B$12*$B$15)</f>
        <v>20.364675298172568</v>
      </c>
      <c r="T8" s="111">
        <f>_2189l</f>
        <v>2</v>
      </c>
      <c r="U8" s="109" t="str">
        <f>IF(T8="","","bis")</f>
        <v>bis</v>
      </c>
      <c r="V8" s="112">
        <f>_2189m</f>
        <v>3</v>
      </c>
      <c r="W8" s="111">
        <f>(((SQRT($T8)*$B$3)/SQRT(3))*60000)/($B$12*$B$15)</f>
        <v>11.757550765359257</v>
      </c>
      <c r="X8" s="109" t="str">
        <f>IF(W8="","","bis")</f>
        <v>bis</v>
      </c>
      <c r="Y8" s="112">
        <f>(((SQRT($V8)*$B$3)/SQRT(3))*60000)/($B$12*$B$15)</f>
        <v>14.4</v>
      </c>
      <c r="Z8" s="113">
        <f>_2189f</f>
        <v>2</v>
      </c>
      <c r="AA8" s="109" t="str">
        <f>IF(Z8="","","bis")</f>
        <v>bis</v>
      </c>
      <c r="AB8" s="114">
        <f>_2189g</f>
        <v>6</v>
      </c>
    </row>
    <row r="9" spans="1:28" ht="18.75" thickBot="1" x14ac:dyDescent="0.3">
      <c r="A9" s="135">
        <v>9</v>
      </c>
      <c r="B9" s="106">
        <f>(((SQRT(B5)*$B$3)/SQRT(3))*$C$15)/$A9</f>
        <v>261.27890589687235</v>
      </c>
      <c r="C9" s="106">
        <f>(((SQRT(C5)*$B$3)/SQRT(3))*$C$15)/$A9</f>
        <v>413.11822359545778</v>
      </c>
      <c r="D9" s="106">
        <f>(((SQRT(D5)*$B$3)/SQRT(3))*$C$15)/$A9</f>
        <v>522.55781179374469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(((SQRT($H9)*$B$3)/SQRT(3))*60000)/($B$12*$B$15)</f>
        <v>0</v>
      </c>
      <c r="L9" s="109" t="str">
        <f>IF(K9="","","bis")</f>
        <v>bis</v>
      </c>
      <c r="M9" s="112">
        <f>(((SQRT($J9)*$B$3)/SQRT(3))*60000)/($B$12*$B$15)</f>
        <v>0</v>
      </c>
      <c r="N9" s="111"/>
      <c r="O9" s="109" t="str">
        <f>IF(N9="","","bis")</f>
        <v/>
      </c>
      <c r="P9" s="112"/>
      <c r="Q9" s="111">
        <f>(((SQRT($N9)*$B$3)/SQRT(3))*60000)/($B$12*$B$15)</f>
        <v>0</v>
      </c>
      <c r="R9" s="109" t="str">
        <f>IF(Q9="","","bis")</f>
        <v>bis</v>
      </c>
      <c r="S9" s="112">
        <f>(((SQRT($P9)*$B$3)/SQRT(3))*60000)/($B$12*$B$15)</f>
        <v>0</v>
      </c>
      <c r="T9" s="111"/>
      <c r="U9" s="109" t="str">
        <f>IF(T9="","","bis")</f>
        <v/>
      </c>
      <c r="V9" s="110"/>
      <c r="W9" s="111">
        <f>(((SQRT($T9)*$B$3)/SQRT(3))*60000)/($B$12*$B$15)</f>
        <v>0</v>
      </c>
      <c r="X9" s="109" t="str">
        <f>IF(W9="","","bis")</f>
        <v>bis</v>
      </c>
      <c r="Y9" s="112">
        <f>(((SQRT($V9)*$B$3)/SQRT(3))*60000)/($B$12*$B$15)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10</v>
      </c>
      <c r="B10" s="115">
        <f>(((SQRT(B5)*$B$3)/SQRT(3))*$C$15)/$A10</f>
        <v>235.15101530718511</v>
      </c>
      <c r="C10" s="115">
        <f>(((SQRT(C5)*$B$3)/SQRT(3))*$C$15)/$A10</f>
        <v>371.80640123591201</v>
      </c>
      <c r="D10" s="115">
        <f>(((SQRT(D5)*$B$3)/SQRT(3))*$C$15)/$A10</f>
        <v>470.30203061437021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0.36168981481481477</v>
      </c>
      <c r="C13" s="124">
        <f>(B12*B14*B15)/60000</f>
        <v>0.83333333333333337</v>
      </c>
      <c r="D13" s="120">
        <f>POWER(((SQRT(3)*$E$13)/$B$3),2)</f>
        <v>4.4307002314814801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3HWxrL6unEOuhlV18aEq6PKTMeycR9B5+OL3MJPen1KSQUrIr+NKEQyBNSpxXYx/s6S9Y0V2JKXeaLuCysvVjA==" saltValue="XecWrs82VXDswbQEjEo1Tg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254" priority="8" operator="greaterThan">
      <formula>$B$12</formula>
    </cfRule>
  </conditionalFormatting>
  <conditionalFormatting sqref="C6">
    <cfRule type="cellIs" dxfId="253" priority="14" operator="greaterThan">
      <formula>$B$12</formula>
    </cfRule>
  </conditionalFormatting>
  <conditionalFormatting sqref="B6">
    <cfRule type="cellIs" dxfId="252" priority="15" operator="greaterThan">
      <formula>$B$12</formula>
    </cfRule>
  </conditionalFormatting>
  <conditionalFormatting sqref="B7">
    <cfRule type="cellIs" dxfId="251" priority="12" operator="greaterThan">
      <formula>$B$12</formula>
    </cfRule>
  </conditionalFormatting>
  <conditionalFormatting sqref="D10">
    <cfRule type="cellIs" dxfId="250" priority="1" operator="greaterThan">
      <formula>$B$12</formula>
    </cfRule>
  </conditionalFormatting>
  <conditionalFormatting sqref="D6">
    <cfRule type="cellIs" dxfId="249" priority="13" operator="greaterThan">
      <formula>$B$12</formula>
    </cfRule>
  </conditionalFormatting>
  <conditionalFormatting sqref="C7">
    <cfRule type="cellIs" dxfId="248" priority="11" operator="greaterThan">
      <formula>$B$12</formula>
    </cfRule>
  </conditionalFormatting>
  <conditionalFormatting sqref="D7">
    <cfRule type="cellIs" dxfId="247" priority="10" operator="greaterThan">
      <formula>$B$12</formula>
    </cfRule>
  </conditionalFormatting>
  <conditionalFormatting sqref="B8">
    <cfRule type="cellIs" dxfId="246" priority="9" operator="greaterThan">
      <formula>$B$12</formula>
    </cfRule>
  </conditionalFormatting>
  <conditionalFormatting sqref="B10">
    <cfRule type="cellIs" dxfId="245" priority="7" operator="greaterThan">
      <formula>$B$12</formula>
    </cfRule>
  </conditionalFormatting>
  <conditionalFormatting sqref="C8">
    <cfRule type="cellIs" dxfId="244" priority="6" operator="greaterThan">
      <formula>$B$12</formula>
    </cfRule>
  </conditionalFormatting>
  <conditionalFormatting sqref="D8">
    <cfRule type="cellIs" dxfId="243" priority="5" operator="greaterThan">
      <formula>$B$12</formula>
    </cfRule>
  </conditionalFormatting>
  <conditionalFormatting sqref="C9">
    <cfRule type="cellIs" dxfId="242" priority="4" operator="greaterThan">
      <formula>$B$12</formula>
    </cfRule>
  </conditionalFormatting>
  <conditionalFormatting sqref="D9">
    <cfRule type="cellIs" dxfId="241" priority="3" operator="greaterThan">
      <formula>$B$12</formula>
    </cfRule>
  </conditionalFormatting>
  <conditionalFormatting sqref="C10">
    <cfRule type="cellIs" dxfId="240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16.5546875" style="63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9" t="s">
        <v>75</v>
      </c>
      <c r="B3" s="413">
        <v>2.4</v>
      </c>
      <c r="C3" s="413"/>
      <c r="D3" s="414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3</v>
      </c>
      <c r="D5" s="104">
        <v>6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277.12812921102039</v>
      </c>
      <c r="C6" s="106">
        <f>(((SQRT(C5)*$B$3)/SQRT(3))*$C$15)/$A6</f>
        <v>480</v>
      </c>
      <c r="D6" s="106">
        <f>(((SQRT(D5)*$B$3)/SQRT(3))*$C$15)/$A6</f>
        <v>678.82250993908565</v>
      </c>
      <c r="F6" s="107" t="str">
        <f>_1935b</f>
        <v>Lechler</v>
      </c>
      <c r="G6" s="107" t="str">
        <f>_1935c</f>
        <v>IDKT 120 06</v>
      </c>
      <c r="H6" s="108">
        <f>_1935h</f>
        <v>1</v>
      </c>
      <c r="I6" s="109" t="str">
        <f>IF(H6="","","bis")</f>
        <v>bis</v>
      </c>
      <c r="J6" s="110">
        <f>_1935i</f>
        <v>6</v>
      </c>
      <c r="K6" s="111">
        <f>(((SQRT($H6)*$B$3)/SQRT(3))*60000)/($B$12*$B$15)</f>
        <v>8.3138438763306119</v>
      </c>
      <c r="L6" s="109" t="str">
        <f>IF(K6="","","bis")</f>
        <v>bis</v>
      </c>
      <c r="M6" s="112">
        <f>(((SQRT($J6)*$B$3)/SQRT(3))*60000)/($B$12*$B$15)</f>
        <v>20.364675298172568</v>
      </c>
      <c r="N6" s="110">
        <f>_1935j</f>
        <v>1</v>
      </c>
      <c r="O6" s="109" t="str">
        <f>IF(N6="","","bis")</f>
        <v>bis</v>
      </c>
      <c r="P6" s="112">
        <f>_1935k</f>
        <v>2</v>
      </c>
      <c r="Q6" s="111">
        <f>(((SQRT($N6)*$B$3)/SQRT(3))*60000)/($B$12*$B$15)</f>
        <v>8.3138438763306119</v>
      </c>
      <c r="R6" s="109" t="str">
        <f>IF(Q6="","","bis")</f>
        <v>bis</v>
      </c>
      <c r="S6" s="112">
        <f>(((SQRT($P6)*$B$3)/SQRT(3))*60000)/($B$12*$B$15)</f>
        <v>11.757550765359257</v>
      </c>
      <c r="T6" s="111">
        <f>_1935l</f>
        <v>1</v>
      </c>
      <c r="U6" s="109" t="str">
        <f>IF(T6="","","bis")</f>
        <v>bis</v>
      </c>
      <c r="V6" s="110">
        <f>_1935m</f>
        <v>1</v>
      </c>
      <c r="W6" s="111">
        <f>(((SQRT($T6)*$B$3)/SQRT(3))*60000)/($B$12*$B$15)</f>
        <v>8.3138438763306119</v>
      </c>
      <c r="X6" s="109" t="str">
        <f>IF(W6="","","bis")</f>
        <v>bis</v>
      </c>
      <c r="Y6" s="110">
        <f>(((SQRT($V6)*$B$3)/SQRT(3))*60000)/($B$12*$B$15)</f>
        <v>8.3138438763306119</v>
      </c>
      <c r="Z6" s="113">
        <f>_1935f</f>
        <v>1</v>
      </c>
      <c r="AA6" s="109" t="str">
        <f>IF(Z6="","","bis")</f>
        <v>bis</v>
      </c>
      <c r="AB6" s="114">
        <f>_1935g</f>
        <v>6</v>
      </c>
    </row>
    <row r="7" spans="1:28" ht="18.75" thickBot="1" x14ac:dyDescent="0.3">
      <c r="A7" s="135">
        <v>7</v>
      </c>
      <c r="B7" s="106">
        <f>(((SQRT(B5)*$B$3)/SQRT(3))*$C$15)/$A7</f>
        <v>237.53839646658889</v>
      </c>
      <c r="C7" s="106">
        <f>(((SQRT(C5)*$B$3)/SQRT(3))*$C$15)/$A7</f>
        <v>411.42857142857144</v>
      </c>
      <c r="D7" s="106">
        <f>(((SQRT(D5)*$B$3)/SQRT(3))*$C$15)/$A7</f>
        <v>581.84786566207345</v>
      </c>
      <c r="F7" s="107"/>
      <c r="G7" s="107"/>
      <c r="H7" s="108"/>
      <c r="I7" s="109" t="str">
        <f>IF(H7="","","bis")</f>
        <v/>
      </c>
      <c r="J7" s="112"/>
      <c r="K7" s="111">
        <f>(((SQRT($H7)*$B$3)/SQRT(3))*60000)/($B$12*$B$15)</f>
        <v>0</v>
      </c>
      <c r="L7" s="109" t="str">
        <f>IF(K7="","","bis")</f>
        <v>bis</v>
      </c>
      <c r="M7" s="112">
        <f>(((SQRT($J7)*$B$3)/SQRT(3))*60000)/($B$12*$B$15)</f>
        <v>0</v>
      </c>
      <c r="N7" s="111"/>
      <c r="O7" s="109" t="str">
        <f>IF(N7="","","bis")</f>
        <v/>
      </c>
      <c r="P7" s="112"/>
      <c r="Q7" s="111">
        <f>(((SQRT($N7)*$B$3)/SQRT(3))*60000)/($B$12*$B$15)</f>
        <v>0</v>
      </c>
      <c r="R7" s="109" t="str">
        <f>IF(Q7="","","bis")</f>
        <v>bis</v>
      </c>
      <c r="S7" s="112">
        <f>(((SQRT($P7)*$B$3)/SQRT(3))*60000)/($B$12*$B$15)</f>
        <v>0</v>
      </c>
      <c r="T7" s="111"/>
      <c r="U7" s="109" t="str">
        <f>IF(T7="","","bis")</f>
        <v/>
      </c>
      <c r="V7" s="112"/>
      <c r="W7" s="111">
        <f>(((SQRT($T7)*$B$3)/SQRT(3))*60000)/($B$12*$B$15)</f>
        <v>0</v>
      </c>
      <c r="X7" s="109" t="str">
        <f>IF(W7="","","bis")</f>
        <v>bis</v>
      </c>
      <c r="Y7" s="112">
        <f>(((SQRT($V7)*$B$3)/SQRT(3))*60000)/($B$12*$B$15)</f>
        <v>0</v>
      </c>
      <c r="Z7" s="113"/>
      <c r="AA7" s="109" t="str">
        <f>IF(Z7="","","bis")</f>
        <v/>
      </c>
      <c r="AB7" s="114"/>
    </row>
    <row r="8" spans="1:28" ht="18.75" thickBot="1" x14ac:dyDescent="0.3">
      <c r="A8" s="135">
        <v>8</v>
      </c>
      <c r="B8" s="106">
        <f>(((SQRT(B5)*$B$3)/SQRT(3))*$C$15)/$A8</f>
        <v>207.84609690826528</v>
      </c>
      <c r="C8" s="106">
        <f>(((SQRT(C5)*$B$3)/SQRT(3))*1200)/$A8</f>
        <v>360</v>
      </c>
      <c r="D8" s="106">
        <f>(((SQRT(D5)*$B$3)/SQRT(3))*1200)/$A8</f>
        <v>509.11688245431424</v>
      </c>
      <c r="F8" s="107"/>
      <c r="G8" s="107"/>
      <c r="H8" s="108"/>
      <c r="I8" s="109" t="str">
        <f>IF(H8="","","bis")</f>
        <v/>
      </c>
      <c r="J8" s="112"/>
      <c r="K8" s="111">
        <f>(((SQRT($H8)*$B$3)/SQRT(3))*60000)/($B$12*$B$15)</f>
        <v>0</v>
      </c>
      <c r="L8" s="109" t="str">
        <f>IF(K8="","","bis")</f>
        <v>bis</v>
      </c>
      <c r="M8" s="112">
        <f>(((SQRT($J8)*$B$3)/SQRT(3))*60000)/($B$12*$B$15)</f>
        <v>0</v>
      </c>
      <c r="N8" s="111"/>
      <c r="O8" s="109" t="str">
        <f>IF(N8="","","bis")</f>
        <v/>
      </c>
      <c r="P8" s="112"/>
      <c r="Q8" s="111">
        <f>(((SQRT($N8)*$B$3)/SQRT(3))*60000)/($B$12*$B$15)</f>
        <v>0</v>
      </c>
      <c r="R8" s="109" t="str">
        <f>IF(Q8="","","bis")</f>
        <v>bis</v>
      </c>
      <c r="S8" s="112">
        <f>(((SQRT($P8)*$B$3)/SQRT(3))*60000)/($B$12*$B$15)</f>
        <v>0</v>
      </c>
      <c r="T8" s="111"/>
      <c r="U8" s="109" t="str">
        <f>IF(T8="","","bis")</f>
        <v/>
      </c>
      <c r="V8" s="112"/>
      <c r="W8" s="111">
        <f>(((SQRT($T8)*$B$3)/SQRT(3))*60000)/($B$12*$B$15)</f>
        <v>0</v>
      </c>
      <c r="X8" s="109" t="str">
        <f>IF(W8="","","bis")</f>
        <v>bis</v>
      </c>
      <c r="Y8" s="112">
        <f>(((SQRT($V8)*$B$3)/SQRT(3))*60000)/($B$12*$B$15)</f>
        <v>0</v>
      </c>
      <c r="Z8" s="113"/>
      <c r="AA8" s="109" t="str">
        <f>IF(Z8="","","bis")</f>
        <v/>
      </c>
      <c r="AB8" s="114"/>
    </row>
    <row r="9" spans="1:28" ht="18.75" thickBot="1" x14ac:dyDescent="0.3">
      <c r="A9" s="135">
        <v>9</v>
      </c>
      <c r="B9" s="106">
        <f>(((SQRT(B5)*$B$3)/SQRT(3))*$C$15)/$A9</f>
        <v>184.75208614068026</v>
      </c>
      <c r="C9" s="106">
        <f>(((SQRT(C5)*$B$3)/SQRT(3))*$C$15)/$A9</f>
        <v>320</v>
      </c>
      <c r="D9" s="106">
        <f>(((SQRT(D5)*$B$3)/SQRT(3))*$C$15)/$A9</f>
        <v>452.54833995939043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(((SQRT($H9)*$B$3)/SQRT(3))*60000)/($B$12*$B$15)</f>
        <v>0</v>
      </c>
      <c r="L9" s="109" t="str">
        <f>IF(K9="","","bis")</f>
        <v>bis</v>
      </c>
      <c r="M9" s="112">
        <f>(((SQRT($J9)*$B$3)/SQRT(3))*60000)/($B$12*$B$15)</f>
        <v>0</v>
      </c>
      <c r="N9" s="111"/>
      <c r="O9" s="109" t="str">
        <f>IF(N9="","","bis")</f>
        <v/>
      </c>
      <c r="P9" s="112"/>
      <c r="Q9" s="111">
        <f>(((SQRT($N9)*$B$3)/SQRT(3))*60000)/($B$12*$B$15)</f>
        <v>0</v>
      </c>
      <c r="R9" s="109" t="str">
        <f>IF(Q9="","","bis")</f>
        <v>bis</v>
      </c>
      <c r="S9" s="112">
        <f>(((SQRT($P9)*$B$3)/SQRT(3))*60000)/($B$12*$B$15)</f>
        <v>0</v>
      </c>
      <c r="T9" s="111"/>
      <c r="U9" s="109" t="str">
        <f>IF(T9="","","bis")</f>
        <v/>
      </c>
      <c r="V9" s="110"/>
      <c r="W9" s="111">
        <f>(((SQRT($T9)*$B$3)/SQRT(3))*60000)/($B$12*$B$15)</f>
        <v>0</v>
      </c>
      <c r="X9" s="109" t="str">
        <f>IF(W9="","","bis")</f>
        <v>bis</v>
      </c>
      <c r="Y9" s="112">
        <f>(((SQRT($V9)*$B$3)/SQRT(3))*60000)/($B$12*$B$15)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10</v>
      </c>
      <c r="B10" s="115">
        <f>(((SQRT(B5)*$B$3)/SQRT(3))*$C$15)/$A10</f>
        <v>166.27687752661222</v>
      </c>
      <c r="C10" s="115">
        <f>(((SQRT(C5)*$B$3)/SQRT(3))*$C$15)/$A10</f>
        <v>288</v>
      </c>
      <c r="D10" s="115">
        <f>(((SQRT(D5)*$B$3)/SQRT(3))*$C$15)/$A10</f>
        <v>407.29350596345137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0.36168981481481477</v>
      </c>
      <c r="C13" s="124">
        <f>(B12*B14*B15)/60000</f>
        <v>0.83333333333333337</v>
      </c>
      <c r="D13" s="120">
        <f>POWER(((SQRT(3)*$E$13)/$B$3),2)</f>
        <v>4.4307002314814801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fFwF/L2wR68y6nN02s/7wvtAMcNpukygGyIpwvMV5fRorxlCSwtVNg8+jReTaHCZaiReTH0VdFqxL/nw+whodw==" saltValue="62EQCUaRbmJbFOyNbdqsr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239" priority="8" operator="greaterThan">
      <formula>$B$12</formula>
    </cfRule>
  </conditionalFormatting>
  <conditionalFormatting sqref="C6">
    <cfRule type="cellIs" dxfId="238" priority="14" operator="greaterThan">
      <formula>$B$12</formula>
    </cfRule>
  </conditionalFormatting>
  <conditionalFormatting sqref="B6">
    <cfRule type="cellIs" dxfId="237" priority="15" operator="greaterThan">
      <formula>$B$12</formula>
    </cfRule>
  </conditionalFormatting>
  <conditionalFormatting sqref="B7">
    <cfRule type="cellIs" dxfId="236" priority="12" operator="greaterThan">
      <formula>$B$12</formula>
    </cfRule>
  </conditionalFormatting>
  <conditionalFormatting sqref="D10">
    <cfRule type="cellIs" dxfId="235" priority="1" operator="greaterThan">
      <formula>$B$12</formula>
    </cfRule>
  </conditionalFormatting>
  <conditionalFormatting sqref="D6">
    <cfRule type="cellIs" dxfId="234" priority="13" operator="greaterThan">
      <formula>$B$12</formula>
    </cfRule>
  </conditionalFormatting>
  <conditionalFormatting sqref="C7">
    <cfRule type="cellIs" dxfId="233" priority="11" operator="greaterThan">
      <formula>$B$12</formula>
    </cfRule>
  </conditionalFormatting>
  <conditionalFormatting sqref="D7">
    <cfRule type="cellIs" dxfId="232" priority="10" operator="greaterThan">
      <formula>$B$12</formula>
    </cfRule>
  </conditionalFormatting>
  <conditionalFormatting sqref="B8">
    <cfRule type="cellIs" dxfId="231" priority="9" operator="greaterThan">
      <formula>$B$12</formula>
    </cfRule>
  </conditionalFormatting>
  <conditionalFormatting sqref="B10">
    <cfRule type="cellIs" dxfId="230" priority="7" operator="greaterThan">
      <formula>$B$12</formula>
    </cfRule>
  </conditionalFormatting>
  <conditionalFormatting sqref="C8">
    <cfRule type="cellIs" dxfId="229" priority="6" operator="greaterThan">
      <formula>$B$12</formula>
    </cfRule>
  </conditionalFormatting>
  <conditionalFormatting sqref="D8">
    <cfRule type="cellIs" dxfId="228" priority="5" operator="greaterThan">
      <formula>$B$12</formula>
    </cfRule>
  </conditionalFormatting>
  <conditionalFormatting sqref="C9">
    <cfRule type="cellIs" dxfId="227" priority="4" operator="greaterThan">
      <formula>$B$12</formula>
    </cfRule>
  </conditionalFormatting>
  <conditionalFormatting sqref="D9">
    <cfRule type="cellIs" dxfId="226" priority="3" operator="greaterThan">
      <formula>$B$12</formula>
    </cfRule>
  </conditionalFormatting>
  <conditionalFormatting sqref="C10">
    <cfRule type="cellIs" dxfId="225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20.2187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9" t="s">
        <v>75</v>
      </c>
      <c r="B3" s="413">
        <v>2.4</v>
      </c>
      <c r="C3" s="413"/>
      <c r="D3" s="414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2</v>
      </c>
      <c r="C5" s="104">
        <v>5</v>
      </c>
      <c r="D5" s="104">
        <v>8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391.91835884530855</v>
      </c>
      <c r="C6" s="106">
        <f>(((SQRT(C5)*$B$3)/SQRT(3))*$C$15)/$A6</f>
        <v>619.6773353931867</v>
      </c>
      <c r="D6" s="106">
        <f>(((SQRT(D5)*$B$3)/SQRT(3))*$C$15)/$A6</f>
        <v>783.83671769061709</v>
      </c>
      <c r="F6" s="107" t="str">
        <f>_2161b</f>
        <v>TeeJet</v>
      </c>
      <c r="G6" s="107" t="str">
        <f>_2161c</f>
        <v>AITTJ60 110 06 VP</v>
      </c>
      <c r="H6" s="108">
        <f>_2161h</f>
        <v>1.5</v>
      </c>
      <c r="I6" s="109" t="str">
        <f>IF(H6="","","bis")</f>
        <v>bis</v>
      </c>
      <c r="J6" s="110">
        <f>_2161i</f>
        <v>8</v>
      </c>
      <c r="K6" s="111">
        <f>(((SQRT($H6)*$B$3)/SQRT(3))*60000)/($B$12*$B$15)</f>
        <v>10.182337649086284</v>
      </c>
      <c r="L6" s="109" t="str">
        <f>IF(K6="","","bis")</f>
        <v>bis</v>
      </c>
      <c r="M6" s="112">
        <f>(((SQRT($J6)*$B$3)/SQRT(3))*60000)/($B$12*$B$15)</f>
        <v>23.515101530718514</v>
      </c>
      <c r="N6" s="110">
        <f>_2161j</f>
        <v>1.5</v>
      </c>
      <c r="O6" s="109" t="str">
        <f>IF(N6="","","bis")</f>
        <v>bis</v>
      </c>
      <c r="P6" s="112">
        <f>_2161k</f>
        <v>8</v>
      </c>
      <c r="Q6" s="111">
        <f>(((SQRT($N6)*$B$3)/SQRT(3))*60000)/($B$12*$B$15)</f>
        <v>10.182337649086284</v>
      </c>
      <c r="R6" s="109" t="str">
        <f>IF(Q6="","","bis")</f>
        <v>bis</v>
      </c>
      <c r="S6" s="112">
        <f>(((SQRT($P6)*$B$3)/SQRT(3))*60000)/($B$12*$B$15)</f>
        <v>23.515101530718514</v>
      </c>
      <c r="T6" s="111">
        <f>_2161l</f>
        <v>1.5</v>
      </c>
      <c r="U6" s="109" t="str">
        <f>IF(T6="","","bis")</f>
        <v>bis</v>
      </c>
      <c r="V6" s="110">
        <f>_2161m</f>
        <v>3</v>
      </c>
      <c r="W6" s="111">
        <f>(((SQRT($T6)*$B$3)/SQRT(3))*60000)/($B$12*$B$15)</f>
        <v>10.182337649086284</v>
      </c>
      <c r="X6" s="109" t="str">
        <f>IF(W6="","","bis")</f>
        <v>bis</v>
      </c>
      <c r="Y6" s="110">
        <f>(((SQRT($V6)*$B$3)/SQRT(3))*60000)/($B$12*$B$15)</f>
        <v>14.4</v>
      </c>
      <c r="Z6" s="113">
        <f>_2161f</f>
        <v>1.5</v>
      </c>
      <c r="AA6" s="109" t="str">
        <f>IF(Z6="","","bis")</f>
        <v>bis</v>
      </c>
      <c r="AB6" s="114">
        <f>_2161g</f>
        <v>8</v>
      </c>
    </row>
    <row r="7" spans="1:28" ht="18.75" thickBot="1" x14ac:dyDescent="0.3">
      <c r="A7" s="135">
        <v>7</v>
      </c>
      <c r="B7" s="106">
        <f>(((SQRT(B5)*$B$3)/SQRT(3))*$C$15)/$A7</f>
        <v>335.93002186740733</v>
      </c>
      <c r="C7" s="106">
        <f>(((SQRT(C5)*$B$3)/SQRT(3))*$C$15)/$A7</f>
        <v>531.15200176558858</v>
      </c>
      <c r="D7" s="106">
        <f>(((SQRT(D5)*$B$3)/SQRT(3))*$C$15)/$A7</f>
        <v>671.86004373481467</v>
      </c>
      <c r="F7" s="107"/>
      <c r="G7" s="107"/>
      <c r="H7" s="108"/>
      <c r="I7" s="109" t="str">
        <f>IF(H7="","","bis")</f>
        <v/>
      </c>
      <c r="J7" s="112"/>
      <c r="K7" s="111">
        <f>(((SQRT($H7)*$B$3)/SQRT(3))*60000)/($B$12*$B$15)</f>
        <v>0</v>
      </c>
      <c r="L7" s="109" t="str">
        <f>IF(K7="","","bis")</f>
        <v>bis</v>
      </c>
      <c r="M7" s="112">
        <f>(((SQRT($J7)*$B$3)/SQRT(3))*60000)/($B$12*$B$15)</f>
        <v>0</v>
      </c>
      <c r="N7" s="111"/>
      <c r="O7" s="109" t="str">
        <f>IF(N7="","","bis")</f>
        <v/>
      </c>
      <c r="P7" s="112"/>
      <c r="Q7" s="111">
        <f>(((SQRT($N7)*$B$3)/SQRT(3))*60000)/($B$12*$B$15)</f>
        <v>0</v>
      </c>
      <c r="R7" s="109" t="str">
        <f>IF(Q7="","","bis")</f>
        <v>bis</v>
      </c>
      <c r="S7" s="112">
        <f>(((SQRT($P7)*$B$3)/SQRT(3))*60000)/($B$12*$B$15)</f>
        <v>0</v>
      </c>
      <c r="T7" s="111"/>
      <c r="U7" s="109" t="str">
        <f>IF(T7="","","bis")</f>
        <v/>
      </c>
      <c r="V7" s="112"/>
      <c r="W7" s="111">
        <f>(((SQRT($T7)*$B$3)/SQRT(3))*60000)/($B$12*$B$15)</f>
        <v>0</v>
      </c>
      <c r="X7" s="109" t="str">
        <f>IF(W7="","","bis")</f>
        <v>bis</v>
      </c>
      <c r="Y7" s="112">
        <f>(((SQRT($V7)*$B$3)/SQRT(3))*60000)/($B$12*$B$15)</f>
        <v>0</v>
      </c>
      <c r="Z7" s="113"/>
      <c r="AA7" s="109" t="str">
        <f>IF(Z7="","","bis")</f>
        <v/>
      </c>
      <c r="AB7" s="114"/>
    </row>
    <row r="8" spans="1:28" ht="18.75" thickBot="1" x14ac:dyDescent="0.3">
      <c r="A8" s="135">
        <v>8</v>
      </c>
      <c r="B8" s="106">
        <f>(((SQRT(B5)*$B$3)/SQRT(3))*$C$15)/$A8</f>
        <v>293.9387691339814</v>
      </c>
      <c r="C8" s="106">
        <f>(((SQRT(C5)*$B$3)/SQRT(3))*1200)/$A8</f>
        <v>464.75800154489002</v>
      </c>
      <c r="D8" s="106">
        <f>(((SQRT(D5)*$B$3)/SQRT(3))*1200)/$A8</f>
        <v>587.87753826796279</v>
      </c>
      <c r="F8" s="107"/>
      <c r="G8" s="107"/>
      <c r="H8" s="108"/>
      <c r="I8" s="109" t="str">
        <f>IF(H8="","","bis")</f>
        <v/>
      </c>
      <c r="J8" s="112"/>
      <c r="K8" s="111">
        <f>(((SQRT($H8)*$B$3)/SQRT(3))*60000)/($B$12*$B$15)</f>
        <v>0</v>
      </c>
      <c r="L8" s="109" t="str">
        <f>IF(K8="","","bis")</f>
        <v>bis</v>
      </c>
      <c r="M8" s="112">
        <f>(((SQRT($J8)*$B$3)/SQRT(3))*60000)/($B$12*$B$15)</f>
        <v>0</v>
      </c>
      <c r="N8" s="111"/>
      <c r="O8" s="109" t="str">
        <f>IF(N8="","","bis")</f>
        <v/>
      </c>
      <c r="P8" s="112"/>
      <c r="Q8" s="111">
        <f>(((SQRT($N8)*$B$3)/SQRT(3))*60000)/($B$12*$B$15)</f>
        <v>0</v>
      </c>
      <c r="R8" s="109" t="str">
        <f>IF(Q8="","","bis")</f>
        <v>bis</v>
      </c>
      <c r="S8" s="112">
        <f>(((SQRT($P8)*$B$3)/SQRT(3))*60000)/($B$12*$B$15)</f>
        <v>0</v>
      </c>
      <c r="T8" s="111"/>
      <c r="U8" s="109" t="str">
        <f>IF(T8="","","bis")</f>
        <v/>
      </c>
      <c r="V8" s="112"/>
      <c r="W8" s="111">
        <f>(((SQRT($T8)*$B$3)/SQRT(3))*60000)/($B$12*$B$15)</f>
        <v>0</v>
      </c>
      <c r="X8" s="109" t="str">
        <f>IF(W8="","","bis")</f>
        <v>bis</v>
      </c>
      <c r="Y8" s="112">
        <f>(((SQRT($V8)*$B$3)/SQRT(3))*60000)/($B$12*$B$15)</f>
        <v>0</v>
      </c>
      <c r="Z8" s="113"/>
      <c r="AA8" s="109" t="str">
        <f>IF(Z8="","","bis")</f>
        <v/>
      </c>
      <c r="AB8" s="114"/>
    </row>
    <row r="9" spans="1:28" ht="18.75" thickBot="1" x14ac:dyDescent="0.3">
      <c r="A9" s="135">
        <v>9</v>
      </c>
      <c r="B9" s="106">
        <f>(((SQRT(B5)*$B$3)/SQRT(3))*$C$15)/$A9</f>
        <v>261.27890589687235</v>
      </c>
      <c r="C9" s="106">
        <f>(((SQRT(C5)*$B$3)/SQRT(3))*$C$15)/$A9</f>
        <v>413.11822359545778</v>
      </c>
      <c r="D9" s="106">
        <f>(((SQRT(D5)*$B$3)/SQRT(3))*$C$15)/$A9</f>
        <v>522.55781179374469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(((SQRT($H9)*$B$3)/SQRT(3))*60000)/($B$12*$B$15)</f>
        <v>0</v>
      </c>
      <c r="L9" s="109" t="str">
        <f>IF(K9="","","bis")</f>
        <v>bis</v>
      </c>
      <c r="M9" s="112">
        <f>(((SQRT($J9)*$B$3)/SQRT(3))*60000)/($B$12*$B$15)</f>
        <v>0</v>
      </c>
      <c r="N9" s="111"/>
      <c r="O9" s="109" t="str">
        <f>IF(N9="","","bis")</f>
        <v/>
      </c>
      <c r="P9" s="112"/>
      <c r="Q9" s="111">
        <f>(((SQRT($N9)*$B$3)/SQRT(3))*60000)/($B$12*$B$15)</f>
        <v>0</v>
      </c>
      <c r="R9" s="109" t="str">
        <f>IF(Q9="","","bis")</f>
        <v>bis</v>
      </c>
      <c r="S9" s="112">
        <f>(((SQRT($P9)*$B$3)/SQRT(3))*60000)/($B$12*$B$15)</f>
        <v>0</v>
      </c>
      <c r="T9" s="111"/>
      <c r="U9" s="109" t="str">
        <f>IF(T9="","","bis")</f>
        <v/>
      </c>
      <c r="V9" s="110"/>
      <c r="W9" s="111">
        <f>(((SQRT($T9)*$B$3)/SQRT(3))*60000)/($B$12*$B$15)</f>
        <v>0</v>
      </c>
      <c r="X9" s="109" t="str">
        <f>IF(W9="","","bis")</f>
        <v>bis</v>
      </c>
      <c r="Y9" s="112">
        <f>(((SQRT($V9)*$B$3)/SQRT(3))*60000)/($B$12*$B$15)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10</v>
      </c>
      <c r="B10" s="115">
        <f>(((SQRT(B5)*$B$3)/SQRT(3))*$C$15)/$A10</f>
        <v>235.15101530718511</v>
      </c>
      <c r="C10" s="115">
        <f>(((SQRT(C5)*$B$3)/SQRT(3))*$C$15)/$A10</f>
        <v>371.80640123591201</v>
      </c>
      <c r="D10" s="115">
        <f>(((SQRT(D5)*$B$3)/SQRT(3))*$C$15)/$A10</f>
        <v>470.30203061437021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0.36168981481481477</v>
      </c>
      <c r="C13" s="124">
        <f>(B12*B14*B15)/60000</f>
        <v>0.83333333333333337</v>
      </c>
      <c r="D13" s="120">
        <f>POWER(((SQRT(3)*$E$13)/$B$3),2)</f>
        <v>4.4307002314814801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++jfPTHIRivMWfd0GQwIS2sArZSrjjG75PGKzAs4i0mHhwlrSGZQrO3/fTh+kkrGRt6MBEmqlXuh6JnoUzJ+cw==" saltValue="BetclbvCgR0dGesmAAm5NA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224" priority="8" operator="greaterThan">
      <formula>$B$12</formula>
    </cfRule>
  </conditionalFormatting>
  <conditionalFormatting sqref="C6">
    <cfRule type="cellIs" dxfId="223" priority="14" operator="greaterThan">
      <formula>$B$12</formula>
    </cfRule>
  </conditionalFormatting>
  <conditionalFormatting sqref="B6">
    <cfRule type="cellIs" dxfId="222" priority="15" operator="greaterThan">
      <formula>$B$12</formula>
    </cfRule>
  </conditionalFormatting>
  <conditionalFormatting sqref="B7">
    <cfRule type="cellIs" dxfId="221" priority="12" operator="greaterThan">
      <formula>$B$12</formula>
    </cfRule>
  </conditionalFormatting>
  <conditionalFormatting sqref="D10">
    <cfRule type="cellIs" dxfId="220" priority="1" operator="greaterThan">
      <formula>$B$12</formula>
    </cfRule>
  </conditionalFormatting>
  <conditionalFormatting sqref="D6">
    <cfRule type="cellIs" dxfId="219" priority="13" operator="greaterThan">
      <formula>$B$12</formula>
    </cfRule>
  </conditionalFormatting>
  <conditionalFormatting sqref="C7">
    <cfRule type="cellIs" dxfId="218" priority="11" operator="greaterThan">
      <formula>$B$12</formula>
    </cfRule>
  </conditionalFormatting>
  <conditionalFormatting sqref="D7">
    <cfRule type="cellIs" dxfId="217" priority="10" operator="greaterThan">
      <formula>$B$12</formula>
    </cfRule>
  </conditionalFormatting>
  <conditionalFormatting sqref="B8">
    <cfRule type="cellIs" dxfId="216" priority="9" operator="greaterThan">
      <formula>$B$12</formula>
    </cfRule>
  </conditionalFormatting>
  <conditionalFormatting sqref="B10">
    <cfRule type="cellIs" dxfId="215" priority="7" operator="greaterThan">
      <formula>$B$12</formula>
    </cfRule>
  </conditionalFormatting>
  <conditionalFormatting sqref="C8">
    <cfRule type="cellIs" dxfId="214" priority="6" operator="greaterThan">
      <formula>$B$12</formula>
    </cfRule>
  </conditionalFormatting>
  <conditionalFormatting sqref="D8">
    <cfRule type="cellIs" dxfId="213" priority="5" operator="greaterThan">
      <formula>$B$12</formula>
    </cfRule>
  </conditionalFormatting>
  <conditionalFormatting sqref="C9">
    <cfRule type="cellIs" dxfId="212" priority="4" operator="greaterThan">
      <formula>$B$12</formula>
    </cfRule>
  </conditionalFormatting>
  <conditionalFormatting sqref="D9">
    <cfRule type="cellIs" dxfId="211" priority="3" operator="greaterThan">
      <formula>$B$12</formula>
    </cfRule>
  </conditionalFormatting>
  <conditionalFormatting sqref="C10">
    <cfRule type="cellIs" dxfId="210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zoomScale="80" zoomScaleNormal="80" workbookViewId="0">
      <selection activeCell="A3" sqref="A3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16.4414062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1" t="s">
        <v>70</v>
      </c>
      <c r="B3" s="415">
        <v>1.2</v>
      </c>
      <c r="C3" s="415"/>
      <c r="D3" s="416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3</v>
      </c>
      <c r="D5" s="104">
        <v>6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138.5640646055102</v>
      </c>
      <c r="C6" s="106">
        <f>(((SQRT(C5)*$B$3)/SQRT(3))*$C$15)/$A6</f>
        <v>240</v>
      </c>
      <c r="D6" s="106">
        <f>(((SQRT(D5)*$B$3)/SQRT(3))*$C$15)/$A6</f>
        <v>339.41125496954282</v>
      </c>
      <c r="F6" s="107" t="str">
        <f>_1799b</f>
        <v>Lechler</v>
      </c>
      <c r="G6" s="107" t="str">
        <f>_1799c</f>
        <v>IDKN 120 03</v>
      </c>
      <c r="H6" s="108">
        <f>_1799h</f>
        <v>1</v>
      </c>
      <c r="I6" s="109" t="str">
        <f>IF(H6="","","bis")</f>
        <v>bis</v>
      </c>
      <c r="J6" s="110">
        <f>_1799i</f>
        <v>3</v>
      </c>
      <c r="K6" s="111">
        <f>(((SQRT($H6)*$B$3)/SQRT(3))*60000)/($B$12*$B$15)</f>
        <v>5.5425625842204074</v>
      </c>
      <c r="L6" s="109" t="str">
        <f>IF(K6="","","bis")</f>
        <v>bis</v>
      </c>
      <c r="M6" s="112">
        <f>(((SQRT($J6)*$B$3)/SQRT(3))*60000)/($B$12*$B$15)</f>
        <v>9.6</v>
      </c>
      <c r="N6" s="110">
        <f>_1799j</f>
        <v>1</v>
      </c>
      <c r="O6" s="109" t="str">
        <f>IF(N6="","","bis")</f>
        <v>bis</v>
      </c>
      <c r="P6" s="112">
        <f>_1799k</f>
        <v>1.5</v>
      </c>
      <c r="Q6" s="111">
        <f>(((SQRT($N6)*$B$3)/SQRT(3))*60000)/($B$12*$B$15)</f>
        <v>5.5425625842204074</v>
      </c>
      <c r="R6" s="109" t="str">
        <f>IF(Q6="","","bis")</f>
        <v>bis</v>
      </c>
      <c r="S6" s="112">
        <f>(((SQRT($P6)*$B$3)/SQRT(3))*60000)/($B$12*$B$15)</f>
        <v>6.7882250993908562</v>
      </c>
      <c r="T6" s="111">
        <f>_1799l</f>
        <v>1</v>
      </c>
      <c r="U6" s="109" t="str">
        <f>IF(T6="","","bis")</f>
        <v>bis</v>
      </c>
      <c r="V6" s="110">
        <f>_1799m</f>
        <v>1</v>
      </c>
      <c r="W6" s="111">
        <f>(((SQRT($T6)*$B$3)/SQRT(3))*60000)/($B$12*$B$15)</f>
        <v>5.5425625842204074</v>
      </c>
      <c r="X6" s="109" t="str">
        <f>IF(W6="","","bis")</f>
        <v>bis</v>
      </c>
      <c r="Y6" s="110">
        <f>(((SQRT($V6)*$B$3)/SQRT(3))*60000)/($B$12*$B$15)</f>
        <v>5.5425625842204074</v>
      </c>
      <c r="Z6" s="113">
        <f>_1799f</f>
        <v>1</v>
      </c>
      <c r="AA6" s="109" t="str">
        <f>IF(Z6="","","bis")</f>
        <v>bis</v>
      </c>
      <c r="AB6" s="114">
        <f>_1799g</f>
        <v>6</v>
      </c>
    </row>
    <row r="7" spans="1:28" ht="18.75" thickBot="1" x14ac:dyDescent="0.3">
      <c r="A7" s="135">
        <v>7</v>
      </c>
      <c r="B7" s="106">
        <f>(((SQRT(B5)*$B$3)/SQRT(3))*$C$15)/$A7</f>
        <v>118.76919823329445</v>
      </c>
      <c r="C7" s="106">
        <f>(((SQRT(C5)*$B$3)/SQRT(3))*$C$15)/$A7</f>
        <v>205.71428571428572</v>
      </c>
      <c r="D7" s="106">
        <f>(((SQRT(D5)*$B$3)/SQRT(3))*$C$15)/$A7</f>
        <v>290.92393283103672</v>
      </c>
      <c r="F7" s="107" t="str">
        <f>_2190b</f>
        <v>Hardi</v>
      </c>
      <c r="G7" s="107" t="str">
        <f>_2190c</f>
        <v>NanoDrift ND 03</v>
      </c>
      <c r="H7" s="108">
        <f>_2190h</f>
        <v>1</v>
      </c>
      <c r="I7" s="109" t="str">
        <f>IF(H7="","","bis")</f>
        <v>bis</v>
      </c>
      <c r="J7" s="112">
        <f>_2190i</f>
        <v>6</v>
      </c>
      <c r="K7" s="111">
        <f>(((SQRT($H7)*$B$3)/SQRT(3))*60000)/($B$12*$B$15)</f>
        <v>5.5425625842204074</v>
      </c>
      <c r="L7" s="109" t="str">
        <f>IF(K7="","","bis")</f>
        <v>bis</v>
      </c>
      <c r="M7" s="112">
        <f>(((SQRT($J7)*$B$3)/SQRT(3))*60000)/($B$12*$B$15)</f>
        <v>13.576450198781712</v>
      </c>
      <c r="N7" s="111">
        <f>_2190j</f>
        <v>1</v>
      </c>
      <c r="O7" s="109" t="str">
        <f>IF(N7="","","bis")</f>
        <v>bis</v>
      </c>
      <c r="P7" s="112">
        <f>_2190k</f>
        <v>2</v>
      </c>
      <c r="Q7" s="111">
        <f>(((SQRT($N7)*$B$3)/SQRT(3))*60000)/($B$12*$B$15)</f>
        <v>5.5425625842204074</v>
      </c>
      <c r="R7" s="109" t="str">
        <f>IF(Q7="","","bis")</f>
        <v>bis</v>
      </c>
      <c r="S7" s="112">
        <f>(((SQRT($P7)*$B$3)/SQRT(3))*60000)/($B$12*$B$15)</f>
        <v>7.8383671769061705</v>
      </c>
      <c r="T7" s="111">
        <f>_2190l</f>
        <v>1</v>
      </c>
      <c r="U7" s="109" t="str">
        <f>IF(T7="","","bis")</f>
        <v>bis</v>
      </c>
      <c r="V7" s="112">
        <f>_2190m</f>
        <v>1</v>
      </c>
      <c r="W7" s="111">
        <f>(((SQRT($T7)*$B$3)/SQRT(3))*60000)/($B$12*$B$15)</f>
        <v>5.5425625842204074</v>
      </c>
      <c r="X7" s="109" t="str">
        <f>IF(W7="","","bis")</f>
        <v>bis</v>
      </c>
      <c r="Y7" s="112">
        <f>(((SQRT($V7)*$B$3)/SQRT(3))*60000)/($B$12*$B$15)</f>
        <v>5.5425625842204074</v>
      </c>
      <c r="Z7" s="113">
        <f>_2190f</f>
        <v>1</v>
      </c>
      <c r="AA7" s="109" t="str">
        <f>IF(Z7="","","bis")</f>
        <v>bis</v>
      </c>
      <c r="AB7" s="114">
        <f>_2190g</f>
        <v>6</v>
      </c>
    </row>
    <row r="8" spans="1:28" ht="18.75" thickBot="1" x14ac:dyDescent="0.3">
      <c r="A8" s="135">
        <v>8</v>
      </c>
      <c r="B8" s="106">
        <f>(((SQRT(B5)*$B$3)/SQRT(3))*$C$15)/$A8</f>
        <v>103.92304845413264</v>
      </c>
      <c r="C8" s="106">
        <f>(((SQRT(C5)*$B$3)/SQRT(3))*1200)/$A8</f>
        <v>180</v>
      </c>
      <c r="D8" s="106">
        <f>(((SQRT(D5)*$B$3)/SQRT(3))*1200)/$A8</f>
        <v>254.55844122715712</v>
      </c>
      <c r="F8" s="107"/>
      <c r="G8" s="107"/>
      <c r="H8" s="108"/>
      <c r="I8" s="109" t="str">
        <f>IF(H8="","","bis")</f>
        <v/>
      </c>
      <c r="J8" s="112"/>
      <c r="K8" s="111">
        <f>(((SQRT($H8)*$B$3)/SQRT(3))*60000)/($B$12*$B$15)</f>
        <v>0</v>
      </c>
      <c r="L8" s="109" t="str">
        <f>IF(K8="","","bis")</f>
        <v>bis</v>
      </c>
      <c r="M8" s="112">
        <f>(((SQRT($J8)*$B$3)/SQRT(3))*60000)/($B$12*$B$15)</f>
        <v>0</v>
      </c>
      <c r="N8" s="111"/>
      <c r="O8" s="109" t="str">
        <f>IF(N8="","","bis")</f>
        <v/>
      </c>
      <c r="P8" s="112"/>
      <c r="Q8" s="111">
        <f>(((SQRT($N8)*$B$3)/SQRT(3))*60000)/($B$12*$B$15)</f>
        <v>0</v>
      </c>
      <c r="R8" s="109" t="str">
        <f>IF(Q8="","","bis")</f>
        <v>bis</v>
      </c>
      <c r="S8" s="112">
        <f>(((SQRT($P8)*$B$3)/SQRT(3))*60000)/($B$12*$B$15)</f>
        <v>0</v>
      </c>
      <c r="T8" s="111"/>
      <c r="U8" s="109" t="str">
        <f>IF(T8="","","bis")</f>
        <v/>
      </c>
      <c r="V8" s="112"/>
      <c r="W8" s="111">
        <f>(((SQRT($T8)*$B$3)/SQRT(3))*60000)/($B$12*$B$15)</f>
        <v>0</v>
      </c>
      <c r="X8" s="109" t="str">
        <f>IF(W8="","","bis")</f>
        <v>bis</v>
      </c>
      <c r="Y8" s="112">
        <f>(((SQRT($V8)*$B$3)/SQRT(3))*60000)/($B$12*$B$15)</f>
        <v>0</v>
      </c>
      <c r="Z8" s="113"/>
      <c r="AA8" s="109" t="str">
        <f>IF(Z8="","","bis")</f>
        <v/>
      </c>
      <c r="AB8" s="114"/>
    </row>
    <row r="9" spans="1:28" ht="18.75" thickBot="1" x14ac:dyDescent="0.3">
      <c r="A9" s="135">
        <v>9</v>
      </c>
      <c r="B9" s="106">
        <f>(((SQRT(B5)*$B$3)/SQRT(3))*$C$15)/$A9</f>
        <v>92.376043070340131</v>
      </c>
      <c r="C9" s="106">
        <f>(((SQRT(C5)*$B$3)/SQRT(3))*$C$15)/$A9</f>
        <v>160</v>
      </c>
      <c r="D9" s="106">
        <f>(((SQRT(D5)*$B$3)/SQRT(3))*$C$15)/$A9</f>
        <v>226.27416997969522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(((SQRT($H9)*$B$3)/SQRT(3))*60000)/($B$12*$B$15)</f>
        <v>0</v>
      </c>
      <c r="L9" s="109" t="str">
        <f>IF(K9="","","bis")</f>
        <v>bis</v>
      </c>
      <c r="M9" s="112">
        <f>(((SQRT($J9)*$B$3)/SQRT(3))*60000)/($B$12*$B$15)</f>
        <v>0</v>
      </c>
      <c r="N9" s="111"/>
      <c r="O9" s="109" t="str">
        <f>IF(N9="","","bis")</f>
        <v/>
      </c>
      <c r="P9" s="112"/>
      <c r="Q9" s="111">
        <f>(((SQRT($N9)*$B$3)/SQRT(3))*60000)/($B$12*$B$15)</f>
        <v>0</v>
      </c>
      <c r="R9" s="109" t="str">
        <f>IF(Q9="","","bis")</f>
        <v>bis</v>
      </c>
      <c r="S9" s="112">
        <f>(((SQRT($P9)*$B$3)/SQRT(3))*60000)/($B$12*$B$15)</f>
        <v>0</v>
      </c>
      <c r="T9" s="111"/>
      <c r="U9" s="109" t="str">
        <f>IF(T9="","","bis")</f>
        <v/>
      </c>
      <c r="V9" s="110"/>
      <c r="W9" s="111">
        <f>(((SQRT($T9)*$B$3)/SQRT(3))*60000)/($B$12*$B$15)</f>
        <v>0</v>
      </c>
      <c r="X9" s="109" t="str">
        <f>IF(W9="","","bis")</f>
        <v>bis</v>
      </c>
      <c r="Y9" s="112">
        <f>(((SQRT($V9)*$B$3)/SQRT(3))*60000)/($B$12*$B$15)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10</v>
      </c>
      <c r="B10" s="115">
        <f>(((SQRT(B5)*$B$3)/SQRT(3))*$C$15)/$A10</f>
        <v>83.138438763306112</v>
      </c>
      <c r="C10" s="115">
        <f>(((SQRT(C5)*$B$3)/SQRT(3))*$C$15)/$A10</f>
        <v>144</v>
      </c>
      <c r="D10" s="115">
        <f>(((SQRT(D5)*$B$3)/SQRT(3))*$C$15)/$A10</f>
        <v>203.64675298172568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C11" s="124"/>
      <c r="J11" s="116"/>
    </row>
    <row r="12" spans="1:28" ht="18.75" thickBot="1" x14ac:dyDescent="0.3">
      <c r="A12" s="117" t="s">
        <v>60</v>
      </c>
      <c r="B12" s="64">
        <v>150</v>
      </c>
      <c r="C12" s="194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3.255208333333333</v>
      </c>
      <c r="C13" s="124">
        <f>(B12*B14*B15)/60000</f>
        <v>1.25</v>
      </c>
      <c r="D13" s="120">
        <f>POWER(((SQRT(3)*$E$13)/$B$3),2)</f>
        <v>17.72280092592592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10</v>
      </c>
      <c r="C14" s="124"/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  <row r="16" spans="1:28" x14ac:dyDescent="0.25">
      <c r="C16" s="124"/>
    </row>
  </sheetData>
  <sheetProtection algorithmName="SHA-512" hashValue="o/XTzkjtUtgOiDK/tpTMEP0nRipHp/w2iwTgV4MhuMVyfMx08l2BpNElgzIpi5FE/aJ70NFD5evgaCRGzWDvOA==" saltValue="fj5p1/km8WFWRwrVGXZbzw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209" priority="8" operator="greaterThan">
      <formula>$B$12</formula>
    </cfRule>
  </conditionalFormatting>
  <conditionalFormatting sqref="C6">
    <cfRule type="cellIs" dxfId="208" priority="14" operator="greaterThan">
      <formula>$B$12</formula>
    </cfRule>
  </conditionalFormatting>
  <conditionalFormatting sqref="B6">
    <cfRule type="cellIs" dxfId="207" priority="15" operator="greaterThan">
      <formula>$B$12</formula>
    </cfRule>
  </conditionalFormatting>
  <conditionalFormatting sqref="B7">
    <cfRule type="cellIs" dxfId="206" priority="12" operator="greaterThan">
      <formula>$B$12</formula>
    </cfRule>
  </conditionalFormatting>
  <conditionalFormatting sqref="D10">
    <cfRule type="cellIs" dxfId="205" priority="1" operator="greaterThan">
      <formula>$B$12</formula>
    </cfRule>
  </conditionalFormatting>
  <conditionalFormatting sqref="D6">
    <cfRule type="cellIs" dxfId="204" priority="13" operator="greaterThan">
      <formula>$B$12</formula>
    </cfRule>
  </conditionalFormatting>
  <conditionalFormatting sqref="C7">
    <cfRule type="cellIs" dxfId="203" priority="11" operator="greaterThan">
      <formula>$B$12</formula>
    </cfRule>
  </conditionalFormatting>
  <conditionalFormatting sqref="D7">
    <cfRule type="cellIs" dxfId="202" priority="10" operator="greaterThan">
      <formula>$B$12</formula>
    </cfRule>
  </conditionalFormatting>
  <conditionalFormatting sqref="B8">
    <cfRule type="cellIs" dxfId="201" priority="9" operator="greaterThan">
      <formula>$B$12</formula>
    </cfRule>
  </conditionalFormatting>
  <conditionalFormatting sqref="B10">
    <cfRule type="cellIs" dxfId="200" priority="7" operator="greaterThan">
      <formula>$B$12</formula>
    </cfRule>
  </conditionalFormatting>
  <conditionalFormatting sqref="C8">
    <cfRule type="cellIs" dxfId="199" priority="6" operator="greaterThan">
      <formula>$B$12</formula>
    </cfRule>
  </conditionalFormatting>
  <conditionalFormatting sqref="D8">
    <cfRule type="cellIs" dxfId="198" priority="5" operator="greaterThan">
      <formula>$B$12</formula>
    </cfRule>
  </conditionalFormatting>
  <conditionalFormatting sqref="C9">
    <cfRule type="cellIs" dxfId="197" priority="4" operator="greaterThan">
      <formula>$B$12</formula>
    </cfRule>
  </conditionalFormatting>
  <conditionalFormatting sqref="D9">
    <cfRule type="cellIs" dxfId="196" priority="3" operator="greaterThan">
      <formula>$B$12</formula>
    </cfRule>
  </conditionalFormatting>
  <conditionalFormatting sqref="C10">
    <cfRule type="cellIs" dxfId="195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15.554687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1" t="s">
        <v>70</v>
      </c>
      <c r="B3" s="415">
        <v>1.2</v>
      </c>
      <c r="C3" s="415"/>
      <c r="D3" s="416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2</v>
      </c>
      <c r="C5" s="104">
        <v>5</v>
      </c>
      <c r="D5" s="104">
        <v>8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195.95917942265427</v>
      </c>
      <c r="C6" s="106">
        <f>(((SQRT(C5)*$B$3)/SQRT(3))*$C$15)/$A6</f>
        <v>309.83866769659335</v>
      </c>
      <c r="D6" s="106">
        <f>(((SQRT(D5)*$B$3)/SQRT(3))*$C$15)/$A6</f>
        <v>391.91835884530855</v>
      </c>
      <c r="F6" s="107" t="str">
        <f>_2293b</f>
        <v>Agrotop</v>
      </c>
      <c r="G6" s="107" t="str">
        <f>_2293c</f>
        <v>AVI-UC 110 03</v>
      </c>
      <c r="H6" s="108">
        <f>_2293h</f>
        <v>3</v>
      </c>
      <c r="I6" s="109" t="str">
        <f>IF(H6="","","bis")</f>
        <v>bis</v>
      </c>
      <c r="J6" s="110">
        <f>_2293i</f>
        <v>5</v>
      </c>
      <c r="K6" s="111">
        <f>(((SQRT($H6)*$B$3)/SQRT(3))*60000)/($B$12*$B$15)</f>
        <v>7.2</v>
      </c>
      <c r="L6" s="109" t="str">
        <f>IF(K6="","","bis")</f>
        <v>bis</v>
      </c>
      <c r="M6" s="112">
        <f>(((SQRT($J6)*$B$3)/SQRT(3))*60000)/($B$12*$B$15)</f>
        <v>9.2951600308978009</v>
      </c>
      <c r="N6" s="110">
        <f>_2293j</f>
        <v>3</v>
      </c>
      <c r="O6" s="109" t="str">
        <f>IF(N6="","","bis")</f>
        <v>bis</v>
      </c>
      <c r="P6" s="112">
        <f>_2293k</f>
        <v>4</v>
      </c>
      <c r="Q6" s="111">
        <f>(((SQRT($N6)*$B$3)/SQRT(3))*60000)/($B$12*$B$15)</f>
        <v>7.2</v>
      </c>
      <c r="R6" s="109" t="str">
        <f>IF(Q6="","","bis")</f>
        <v>bis</v>
      </c>
      <c r="S6" s="112">
        <f>(((SQRT($P6)*$B$3)/SQRT(3))*60000)/($B$12*$B$15)</f>
        <v>8.3138438763306119</v>
      </c>
      <c r="T6" s="111">
        <f>_2293l</f>
        <v>3</v>
      </c>
      <c r="U6" s="109" t="str">
        <f>IF(T6="","","bis")</f>
        <v>bis</v>
      </c>
      <c r="V6" s="110">
        <f>_2293m</f>
        <v>3</v>
      </c>
      <c r="W6" s="111">
        <f>(((SQRT($T6)*$B$3)/SQRT(3))*60000)/($B$12*$B$15)</f>
        <v>7.2</v>
      </c>
      <c r="X6" s="109" t="str">
        <f>IF(W6="","","bis")</f>
        <v>bis</v>
      </c>
      <c r="Y6" s="110">
        <f>(((SQRT($V6)*$B$3)/SQRT(3))*60000)/($B$12*$B$15)</f>
        <v>7.2</v>
      </c>
      <c r="Z6" s="113">
        <f>_2293f</f>
        <v>3</v>
      </c>
      <c r="AA6" s="109" t="str">
        <f>IF(Z6="","","bis")</f>
        <v>bis</v>
      </c>
      <c r="AB6" s="114">
        <f>_2293g</f>
        <v>7</v>
      </c>
    </row>
    <row r="7" spans="1:28" ht="18.75" thickBot="1" x14ac:dyDescent="0.3">
      <c r="A7" s="135">
        <v>7</v>
      </c>
      <c r="B7" s="106">
        <f>(((SQRT(B5)*$B$3)/SQRT(3))*$C$15)/$A7</f>
        <v>167.96501093370367</v>
      </c>
      <c r="C7" s="106">
        <f>(((SQRT(C5)*$B$3)/SQRT(3))*$C$15)/$A7</f>
        <v>265.57600088279429</v>
      </c>
      <c r="D7" s="106">
        <f>(((SQRT(D5)*$B$3)/SQRT(3))*$C$15)/$A7</f>
        <v>335.93002186740733</v>
      </c>
      <c r="F7" s="107" t="str">
        <f>_1968b</f>
        <v>Lechler</v>
      </c>
      <c r="G7" s="107" t="str">
        <f>_1968c</f>
        <v>ID (3) 120 03</v>
      </c>
      <c r="H7" s="108">
        <f>_1968h</f>
        <v>2</v>
      </c>
      <c r="I7" s="109" t="str">
        <f>IF(H7="","","bis")</f>
        <v>bis</v>
      </c>
      <c r="J7" s="110">
        <f>_1968i</f>
        <v>8</v>
      </c>
      <c r="K7" s="111">
        <f>(((SQRT($H7)*$B$3)/SQRT(3))*60000)/($B$12*$B$15)</f>
        <v>5.8787753826796285</v>
      </c>
      <c r="L7" s="109" t="str">
        <f>IF(K7="","","bis")</f>
        <v>bis</v>
      </c>
      <c r="M7" s="112">
        <f>(((SQRT($J7)*$B$3)/SQRT(3))*60000)/($B$12*$B$15)</f>
        <v>11.757550765359257</v>
      </c>
      <c r="N7" s="110">
        <f>_1968j</f>
        <v>2</v>
      </c>
      <c r="O7" s="109" t="str">
        <f>IF(N7="","","bis")</f>
        <v>bis</v>
      </c>
      <c r="P7" s="112">
        <f>_1968k</f>
        <v>4</v>
      </c>
      <c r="Q7" s="111">
        <f>(((SQRT($N7)*$B$3)/SQRT(3))*60000)/($B$12*$B$15)</f>
        <v>5.8787753826796285</v>
      </c>
      <c r="R7" s="109" t="str">
        <f>IF(Q7="","","bis")</f>
        <v>bis</v>
      </c>
      <c r="S7" s="112">
        <f>(((SQRT($P7)*$B$3)/SQRT(3))*60000)/($B$12*$B$15)</f>
        <v>8.3138438763306119</v>
      </c>
      <c r="T7" s="111">
        <f>_1968l</f>
        <v>2</v>
      </c>
      <c r="U7" s="109" t="str">
        <f>IF(T7="","","bis")</f>
        <v>bis</v>
      </c>
      <c r="V7" s="110">
        <f>_1968m</f>
        <v>3</v>
      </c>
      <c r="W7" s="111">
        <f>(((SQRT($T7)*$B$3)/SQRT(3))*60000)/($B$12*$B$15)</f>
        <v>5.8787753826796285</v>
      </c>
      <c r="X7" s="109" t="str">
        <f>IF(W7="","","bis")</f>
        <v>bis</v>
      </c>
      <c r="Y7" s="112">
        <f>(((SQRT($V7)*$B$3)/SQRT(3))*60000)/($B$12*$B$15)</f>
        <v>7.2</v>
      </c>
      <c r="Z7" s="113">
        <f>_1968f</f>
        <v>2</v>
      </c>
      <c r="AA7" s="109" t="str">
        <f>IF(Z7="","","bis")</f>
        <v>bis</v>
      </c>
      <c r="AB7" s="114">
        <f>_1968g</f>
        <v>8</v>
      </c>
    </row>
    <row r="8" spans="1:28" ht="18.75" thickBot="1" x14ac:dyDescent="0.3">
      <c r="A8" s="135">
        <v>8</v>
      </c>
      <c r="B8" s="106">
        <f>(((SQRT(B5)*$B$3)/SQRT(3))*$C$15)/$A8</f>
        <v>146.9693845669907</v>
      </c>
      <c r="C8" s="106">
        <f>(((SQRT(C5)*$B$3)/SQRT(3))*1200)/$A8</f>
        <v>232.37900077244501</v>
      </c>
      <c r="D8" s="106">
        <f>(((SQRT(D5)*$B$3)/SQRT(3))*1200)/$A8</f>
        <v>293.9387691339814</v>
      </c>
      <c r="F8" s="107" t="str">
        <f>_2205b</f>
        <v>Lechler</v>
      </c>
      <c r="G8" s="107" t="str">
        <f>_2205c</f>
        <v>PSULDCQ2003</v>
      </c>
      <c r="H8" s="108">
        <f>_2205h</f>
        <v>2</v>
      </c>
      <c r="I8" s="109" t="str">
        <f>IF(H8="","","bis")</f>
        <v>bis</v>
      </c>
      <c r="J8" s="112">
        <f>_2205i</f>
        <v>8</v>
      </c>
      <c r="K8" s="111">
        <f>(((SQRT($H8)*$B$3)/SQRT(3))*60000)/($B$12*$B$15)</f>
        <v>5.8787753826796285</v>
      </c>
      <c r="L8" s="109" t="str">
        <f>IF(K8="","","bis")</f>
        <v>bis</v>
      </c>
      <c r="M8" s="112">
        <f>(((SQRT($J8)*$B$3)/SQRT(3))*60000)/($B$12*$B$15)</f>
        <v>11.757550765359257</v>
      </c>
      <c r="N8" s="111">
        <f>_2205j</f>
        <v>2</v>
      </c>
      <c r="O8" s="109" t="str">
        <f>IF(N8="","","bis")</f>
        <v>bis</v>
      </c>
      <c r="P8" s="112">
        <f>_2205k</f>
        <v>4</v>
      </c>
      <c r="Q8" s="111">
        <f>(((SQRT($N8)*$B$3)/SQRT(3))*60000)/($B$12*$B$15)</f>
        <v>5.8787753826796285</v>
      </c>
      <c r="R8" s="109" t="str">
        <f>IF(Q8="","","bis")</f>
        <v>bis</v>
      </c>
      <c r="S8" s="112">
        <f>(((SQRT($P8)*$B$3)/SQRT(3))*60000)/($B$12*$B$15)</f>
        <v>8.3138438763306119</v>
      </c>
      <c r="T8" s="111">
        <f>_2205l</f>
        <v>2</v>
      </c>
      <c r="U8" s="109" t="str">
        <f>IF(T8="","","bis")</f>
        <v>bis</v>
      </c>
      <c r="V8" s="112">
        <f>_2205m</f>
        <v>2.5</v>
      </c>
      <c r="W8" s="111">
        <f>(((SQRT($T8)*$B$3)/SQRT(3))*60000)/($B$12*$B$15)</f>
        <v>5.8787753826796285</v>
      </c>
      <c r="X8" s="109" t="str">
        <f>IF(W8="","","bis")</f>
        <v>bis</v>
      </c>
      <c r="Y8" s="112">
        <f>(((SQRT($V8)*$B$3)/SQRT(3))*60000)/($B$12*$B$15)</f>
        <v>6.5726706900619929</v>
      </c>
      <c r="Z8" s="113">
        <f>_2205f</f>
        <v>2</v>
      </c>
      <c r="AA8" s="109" t="str">
        <f>IF(Z8="","","bis")</f>
        <v>bis</v>
      </c>
      <c r="AB8" s="114">
        <f>_2205g</f>
        <v>8</v>
      </c>
    </row>
    <row r="9" spans="1:28" ht="18.75" thickBot="1" x14ac:dyDescent="0.3">
      <c r="A9" s="135">
        <v>9</v>
      </c>
      <c r="B9" s="106">
        <f>(((SQRT(B5)*$B$3)/SQRT(3))*$C$15)/$A9</f>
        <v>130.63945294843617</v>
      </c>
      <c r="C9" s="106">
        <f>(((SQRT(C5)*$B$3)/SQRT(3))*$C$15)/$A9</f>
        <v>206.55911179772889</v>
      </c>
      <c r="D9" s="106">
        <f>(((SQRT(D5)*$B$3)/SQRT(3))*$C$15)/$A9</f>
        <v>261.27890589687235</v>
      </c>
      <c r="F9" s="107" t="str">
        <f>_1738b</f>
        <v>TeeJet</v>
      </c>
      <c r="G9" s="107" t="str">
        <f>_1738c</f>
        <v>TTI 110 03</v>
      </c>
      <c r="H9" s="108">
        <f>_1738h</f>
        <v>1.5</v>
      </c>
      <c r="I9" s="109" t="str">
        <f>IF(H9="","","bis")</f>
        <v>bis</v>
      </c>
      <c r="J9" s="112">
        <f>_1738i</f>
        <v>5</v>
      </c>
      <c r="K9" s="111">
        <f>(((SQRT($H9)*$B$3)/SQRT(3))*60000)/($B$12*$B$15)</f>
        <v>5.0911688245431419</v>
      </c>
      <c r="L9" s="109" t="str">
        <f>IF(K9="","","bis")</f>
        <v>bis</v>
      </c>
      <c r="M9" s="112">
        <f>(((SQRT($J9)*$B$3)/SQRT(3))*60000)/($B$12*$B$15)</f>
        <v>9.2951600308978009</v>
      </c>
      <c r="N9" s="111">
        <f>_1738j</f>
        <v>1.5</v>
      </c>
      <c r="O9" s="109" t="str">
        <f>IF(N9="","","bis")</f>
        <v>bis</v>
      </c>
      <c r="P9" s="112">
        <f>_1738k</f>
        <v>2.5</v>
      </c>
      <c r="Q9" s="111">
        <f>(((SQRT($N9)*$B$3)/SQRT(3))*60000)/($B$12*$B$15)</f>
        <v>5.0911688245431419</v>
      </c>
      <c r="R9" s="109" t="str">
        <f>IF(Q9="","","bis")</f>
        <v>bis</v>
      </c>
      <c r="S9" s="112">
        <f>(((SQRT($P9)*$B$3)/SQRT(3))*60000)/($B$12*$B$15)</f>
        <v>6.5726706900619929</v>
      </c>
      <c r="T9" s="111">
        <f>_1738l</f>
        <v>1.5</v>
      </c>
      <c r="U9" s="109" t="str">
        <f>IF(T9="","","bis")</f>
        <v>bis</v>
      </c>
      <c r="V9" s="110">
        <f>_1738m</f>
        <v>1.5</v>
      </c>
      <c r="W9" s="111">
        <f>(((SQRT($T9)*$B$3)/SQRT(3))*60000)/($B$12*$B$15)</f>
        <v>5.0911688245431419</v>
      </c>
      <c r="X9" s="109" t="str">
        <f>IF(W9="","","bis")</f>
        <v>bis</v>
      </c>
      <c r="Y9" s="112">
        <f>(((SQRT($V9)*$B$3)/SQRT(3))*60000)/($B$12*$B$15)</f>
        <v>5.0911688245431419</v>
      </c>
      <c r="Z9" s="113">
        <f>_1738f</f>
        <v>1.5</v>
      </c>
      <c r="AA9" s="109" t="str">
        <f>IF(Z9="","","bis")</f>
        <v>bis</v>
      </c>
      <c r="AB9" s="114">
        <f>_1738g</f>
        <v>7</v>
      </c>
    </row>
    <row r="10" spans="1:28" ht="18.75" thickBot="1" x14ac:dyDescent="0.3">
      <c r="A10" s="136">
        <v>10</v>
      </c>
      <c r="B10" s="115">
        <f>(((SQRT(B5)*$B$3)/SQRT(3))*$C$15)/$A10</f>
        <v>117.57550765359255</v>
      </c>
      <c r="C10" s="115">
        <f>(((SQRT(C5)*$B$3)/SQRT(3))*$C$15)/$A10</f>
        <v>185.903200617956</v>
      </c>
      <c r="D10" s="115">
        <f>(((SQRT(D5)*$B$3)/SQRT(3))*$C$15)/$A10</f>
        <v>235.15101530718511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1.4467592592592591</v>
      </c>
      <c r="C13" s="124">
        <f>(B12*B14*B15)/60000</f>
        <v>0.83333333333333337</v>
      </c>
      <c r="D13" s="120">
        <f>POWER(((SQRT(3)*$E$13)/$B$3),2)</f>
        <v>17.72280092592592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WXg5jiaupmsh9jWrDc0QWIdyBdtqha0UGiz1DFg0cCCx12pei8C9WTnyHxQXlZgwqd0q77XagZz7UvbSm8AIkg==" saltValue="MXyi4x3f7CuyMqo+9c67Sg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194" priority="8" operator="greaterThan">
      <formula>$B$12</formula>
    </cfRule>
  </conditionalFormatting>
  <conditionalFormatting sqref="C6">
    <cfRule type="cellIs" dxfId="193" priority="14" operator="greaterThan">
      <formula>$B$12</formula>
    </cfRule>
  </conditionalFormatting>
  <conditionalFormatting sqref="B6">
    <cfRule type="cellIs" dxfId="192" priority="15" operator="greaterThan">
      <formula>$B$12</formula>
    </cfRule>
  </conditionalFormatting>
  <conditionalFormatting sqref="B7">
    <cfRule type="cellIs" dxfId="191" priority="12" operator="greaterThan">
      <formula>$B$12</formula>
    </cfRule>
  </conditionalFormatting>
  <conditionalFormatting sqref="D10">
    <cfRule type="cellIs" dxfId="190" priority="1" operator="greaterThan">
      <formula>$B$12</formula>
    </cfRule>
  </conditionalFormatting>
  <conditionalFormatting sqref="D6">
    <cfRule type="cellIs" dxfId="189" priority="13" operator="greaterThan">
      <formula>$B$12</formula>
    </cfRule>
  </conditionalFormatting>
  <conditionalFormatting sqref="C7">
    <cfRule type="cellIs" dxfId="188" priority="11" operator="greaterThan">
      <formula>$B$12</formula>
    </cfRule>
  </conditionalFormatting>
  <conditionalFormatting sqref="D7">
    <cfRule type="cellIs" dxfId="187" priority="10" operator="greaterThan">
      <formula>$B$12</formula>
    </cfRule>
  </conditionalFormatting>
  <conditionalFormatting sqref="B8">
    <cfRule type="cellIs" dxfId="186" priority="9" operator="greaterThan">
      <formula>$B$12</formula>
    </cfRule>
  </conditionalFormatting>
  <conditionalFormatting sqref="B10">
    <cfRule type="cellIs" dxfId="185" priority="7" operator="greaterThan">
      <formula>$B$12</formula>
    </cfRule>
  </conditionalFormatting>
  <conditionalFormatting sqref="C8">
    <cfRule type="cellIs" dxfId="184" priority="6" operator="greaterThan">
      <formula>$B$12</formula>
    </cfRule>
  </conditionalFormatting>
  <conditionalFormatting sqref="D8">
    <cfRule type="cellIs" dxfId="183" priority="5" operator="greaterThan">
      <formula>$B$12</formula>
    </cfRule>
  </conditionalFormatting>
  <conditionalFormatting sqref="C9">
    <cfRule type="cellIs" dxfId="182" priority="4" operator="greaterThan">
      <formula>$B$12</formula>
    </cfRule>
  </conditionalFormatting>
  <conditionalFormatting sqref="D9">
    <cfRule type="cellIs" dxfId="181" priority="3" operator="greaterThan">
      <formula>$B$12</formula>
    </cfRule>
  </conditionalFormatting>
  <conditionalFormatting sqref="C10">
    <cfRule type="cellIs" dxfId="180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20.4414062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1" t="s">
        <v>70</v>
      </c>
      <c r="B3" s="415">
        <v>1.2</v>
      </c>
      <c r="C3" s="415"/>
      <c r="D3" s="416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3</v>
      </c>
      <c r="D5" s="104">
        <v>6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138.5640646055102</v>
      </c>
      <c r="C6" s="106">
        <f>(((SQRT(C5)*$B$3)/SQRT(3))*$C$15)/$A6</f>
        <v>240</v>
      </c>
      <c r="D6" s="106">
        <f>(((SQRT(D5)*$B$3)/SQRT(3))*$C$15)/$A6</f>
        <v>339.41125496954282</v>
      </c>
      <c r="F6" s="107" t="str">
        <f>_1903b</f>
        <v>Agrotop</v>
      </c>
      <c r="G6" s="107" t="str">
        <f>_1903c</f>
        <v>CVI Twin 110 03</v>
      </c>
      <c r="H6" s="108">
        <f>_1903h</f>
        <v>1.5</v>
      </c>
      <c r="I6" s="109" t="str">
        <f>IF(H6="","","bis")</f>
        <v>bis</v>
      </c>
      <c r="J6" s="110">
        <f>_1903i</f>
        <v>6</v>
      </c>
      <c r="K6" s="111">
        <f>(((SQRT($H6)*$B$3)/SQRT(3))*60000)/($B$12*$B$15)</f>
        <v>5.0911688245431419</v>
      </c>
      <c r="L6" s="109" t="str">
        <f>IF(K6="","","bis")</f>
        <v>bis</v>
      </c>
      <c r="M6" s="112">
        <f>(((SQRT($J6)*$B$3)/SQRT(3))*60000)/($B$12*$B$15)</f>
        <v>10.182337649086284</v>
      </c>
      <c r="N6" s="110">
        <f>_1903j</f>
        <v>1.5</v>
      </c>
      <c r="O6" s="109" t="str">
        <f>IF(N6="","","bis")</f>
        <v>bis</v>
      </c>
      <c r="P6" s="112">
        <f>_1903k</f>
        <v>2</v>
      </c>
      <c r="Q6" s="111">
        <f>(((SQRT($N6)*$B$3)/SQRT(3))*60000)/($B$12*$B$15)</f>
        <v>5.0911688245431419</v>
      </c>
      <c r="R6" s="109" t="str">
        <f>IF(Q6="","","bis")</f>
        <v>bis</v>
      </c>
      <c r="S6" s="112">
        <f>(((SQRT($P6)*$B$3)/SQRT(3))*60000)/($B$12*$B$15)</f>
        <v>5.8787753826796285</v>
      </c>
      <c r="T6" s="111">
        <f>_1903l</f>
        <v>1.5</v>
      </c>
      <c r="U6" s="109" t="str">
        <f>IF(T6="","","bis")</f>
        <v>bis</v>
      </c>
      <c r="V6" s="110">
        <f>_1903m</f>
        <v>1.5</v>
      </c>
      <c r="W6" s="111">
        <f>(((SQRT($T6)*$B$3)/SQRT(3))*60000)/($B$12*$B$15)</f>
        <v>5.0911688245431419</v>
      </c>
      <c r="X6" s="109" t="str">
        <f>IF(W6="","","bis")</f>
        <v>bis</v>
      </c>
      <c r="Y6" s="110">
        <f>(((SQRT($V6)*$B$3)/SQRT(3))*60000)/($B$12*$B$15)</f>
        <v>5.0911688245431419</v>
      </c>
      <c r="Z6" s="113">
        <f>_1903f</f>
        <v>1.5</v>
      </c>
      <c r="AA6" s="109" t="str">
        <f>IF(Z6="","","bis")</f>
        <v>bis</v>
      </c>
      <c r="AB6" s="114">
        <f>_1903g</f>
        <v>6</v>
      </c>
    </row>
    <row r="7" spans="1:28" ht="18.75" thickBot="1" x14ac:dyDescent="0.3">
      <c r="A7" s="135">
        <v>7</v>
      </c>
      <c r="B7" s="106">
        <f>(((SQRT(B5)*$B$3)/SQRT(3))*$C$15)/$A7</f>
        <v>118.76919823329445</v>
      </c>
      <c r="C7" s="106">
        <f>(((SQRT(C5)*$B$3)/SQRT(3))*$C$15)/$A7</f>
        <v>205.71428571428572</v>
      </c>
      <c r="D7" s="106">
        <f>(((SQRT(D5)*$B$3)/SQRT(3))*$C$15)/$A7</f>
        <v>290.92393283103672</v>
      </c>
      <c r="F7" s="107" t="str">
        <f>_d1892b</f>
        <v>Lechler</v>
      </c>
      <c r="G7" s="107" t="str">
        <f>_d1892c</f>
        <v>IDKT 120 03</v>
      </c>
      <c r="H7" s="108">
        <f>_d1892h</f>
        <v>1</v>
      </c>
      <c r="I7" s="109" t="str">
        <f>IF(H7="","","bis")</f>
        <v>bis</v>
      </c>
      <c r="J7" s="112">
        <f>_d1892i</f>
        <v>4</v>
      </c>
      <c r="K7" s="111">
        <f>(((SQRT($H7)*$B$3)/SQRT(3))*60000)/($B$12*$B$15)</f>
        <v>4.156921938165306</v>
      </c>
      <c r="L7" s="109" t="str">
        <f>IF(K7="","","bis")</f>
        <v>bis</v>
      </c>
      <c r="M7" s="112">
        <f>(((SQRT($J7)*$B$3)/SQRT(3))*60000)/($B$12*$B$15)</f>
        <v>8.3138438763306119</v>
      </c>
      <c r="N7" s="111">
        <f>_d1892j</f>
        <v>1</v>
      </c>
      <c r="O7" s="109" t="str">
        <f>IF(N7="","","bis")</f>
        <v>bis</v>
      </c>
      <c r="P7" s="112">
        <f>_d1892k</f>
        <v>2</v>
      </c>
      <c r="Q7" s="111">
        <f>(((SQRT($N7)*$B$3)/SQRT(3))*60000)/($B$12*$B$15)</f>
        <v>4.156921938165306</v>
      </c>
      <c r="R7" s="109" t="str">
        <f>IF(Q7="","","bis")</f>
        <v>bis</v>
      </c>
      <c r="S7" s="112">
        <f>(((SQRT($P7)*$B$3)/SQRT(3))*60000)/($B$12*$B$15)</f>
        <v>5.8787753826796285</v>
      </c>
      <c r="T7" s="111">
        <f>_d1892l</f>
        <v>1</v>
      </c>
      <c r="U7" s="109" t="str">
        <f>IF(T7="","","bis")</f>
        <v>bis</v>
      </c>
      <c r="V7" s="112">
        <f>_d1892m</f>
        <v>1.5</v>
      </c>
      <c r="W7" s="111">
        <f>(((SQRT($T7)*$B$3)/SQRT(3))*60000)/($B$12*$B$15)</f>
        <v>4.156921938165306</v>
      </c>
      <c r="X7" s="109" t="str">
        <f>IF(W7="","","bis")</f>
        <v>bis</v>
      </c>
      <c r="Y7" s="112">
        <f>(((SQRT($V7)*$B$3)/SQRT(3))*60000)/($B$12*$B$15)</f>
        <v>5.0911688245431419</v>
      </c>
      <c r="Z7" s="113">
        <f>_d1892f</f>
        <v>1</v>
      </c>
      <c r="AA7" s="109" t="str">
        <f>IF(Z7="","","bis")</f>
        <v>bis</v>
      </c>
      <c r="AB7" s="114">
        <f>_d1892m</f>
        <v>1.5</v>
      </c>
    </row>
    <row r="8" spans="1:28" ht="18.75" thickBot="1" x14ac:dyDescent="0.3">
      <c r="A8" s="135">
        <v>8</v>
      </c>
      <c r="B8" s="106">
        <f>(((SQRT(B5)*$B$3)/SQRT(3))*$C$15)/$A8</f>
        <v>103.92304845413264</v>
      </c>
      <c r="C8" s="106">
        <f>(((SQRT(C5)*$B$3)/SQRT(3))*1200)/$A8</f>
        <v>180</v>
      </c>
      <c r="D8" s="106">
        <f>(((SQRT(D5)*$B$3)/SQRT(3))*1200)/$A8</f>
        <v>254.55844122715712</v>
      </c>
      <c r="F8" s="107" t="str">
        <f>_1907b</f>
        <v>Hardi</v>
      </c>
      <c r="G8" s="107" t="str">
        <f>_1907c</f>
        <v>MiniDrift Duo 110 03</v>
      </c>
      <c r="H8" s="108">
        <f>_1907h</f>
        <v>1</v>
      </c>
      <c r="I8" s="109" t="str">
        <f>IF(H8="","","bis")</f>
        <v>bis</v>
      </c>
      <c r="J8" s="112">
        <f>_1907i</f>
        <v>4</v>
      </c>
      <c r="K8" s="111">
        <f>(((SQRT($H8)*$B$3)/SQRT(3))*60000)/($B$12*$B$15)</f>
        <v>4.156921938165306</v>
      </c>
      <c r="L8" s="109" t="str">
        <f>IF(K8="","","bis")</f>
        <v>bis</v>
      </c>
      <c r="M8" s="112">
        <f>(((SQRT($J8)*$B$3)/SQRT(3))*60000)/($B$12*$B$15)</f>
        <v>8.3138438763306119</v>
      </c>
      <c r="N8" s="111">
        <f>_1907j</f>
        <v>1</v>
      </c>
      <c r="O8" s="109" t="str">
        <f>IF(N8="","","bis")</f>
        <v>bis</v>
      </c>
      <c r="P8" s="112">
        <f>_1907k</f>
        <v>2</v>
      </c>
      <c r="Q8" s="111">
        <f>(((SQRT($N8)*$B$3)/SQRT(3))*60000)/($B$12*$B$15)</f>
        <v>4.156921938165306</v>
      </c>
      <c r="R8" s="109" t="str">
        <f>IF(Q8="","","bis")</f>
        <v>bis</v>
      </c>
      <c r="S8" s="112">
        <f>(((SQRT($P8)*$B$3)/SQRT(3))*60000)/($B$12*$B$15)</f>
        <v>5.8787753826796285</v>
      </c>
      <c r="T8" s="111">
        <f>_1907l</f>
        <v>1</v>
      </c>
      <c r="U8" s="109" t="str">
        <f>IF(T8="","","bis")</f>
        <v>bis</v>
      </c>
      <c r="V8" s="112">
        <f>_1907m</f>
        <v>1.5</v>
      </c>
      <c r="W8" s="111">
        <f>(((SQRT($T8)*$B$3)/SQRT(3))*60000)/($B$12*$B$15)</f>
        <v>4.156921938165306</v>
      </c>
      <c r="X8" s="109" t="str">
        <f>IF(W8="","","bis")</f>
        <v>bis</v>
      </c>
      <c r="Y8" s="112">
        <f>(((SQRT($V8)*$B$3)/SQRT(3))*60000)/($B$12*$B$15)</f>
        <v>5.0911688245431419</v>
      </c>
      <c r="Z8" s="113">
        <f>_1907f</f>
        <v>1</v>
      </c>
      <c r="AA8" s="109" t="str">
        <f>IF(Z8="","","bis")</f>
        <v>bis</v>
      </c>
      <c r="AB8" s="114">
        <f>_1907g</f>
        <v>6</v>
      </c>
    </row>
    <row r="9" spans="1:28" ht="18.75" thickBot="1" x14ac:dyDescent="0.3">
      <c r="A9" s="135">
        <v>9</v>
      </c>
      <c r="B9" s="106">
        <f>(((SQRT(B5)*$B$3)/SQRT(3))*$C$15)/$A9</f>
        <v>92.376043070340131</v>
      </c>
      <c r="C9" s="106">
        <f>(((SQRT(C5)*$B$3)/SQRT(3))*$C$15)/$A9</f>
        <v>160</v>
      </c>
      <c r="D9" s="106">
        <f>(((SQRT(D5)*$B$3)/SQRT(3))*$C$15)/$A9</f>
        <v>226.27416997969522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(((SQRT($H9)*$B$3)/SQRT(3))*60000)/($B$12*$B$15)</f>
        <v>0</v>
      </c>
      <c r="L9" s="109" t="str">
        <f>IF(K9="","","bis")</f>
        <v>bis</v>
      </c>
      <c r="M9" s="112">
        <f>(((SQRT($J9)*$B$3)/SQRT(3))*60000)/($B$12*$B$15)</f>
        <v>0</v>
      </c>
      <c r="N9" s="111"/>
      <c r="O9" s="109" t="str">
        <f>IF(N9="","","bis")</f>
        <v/>
      </c>
      <c r="P9" s="112"/>
      <c r="Q9" s="111">
        <f>(((SQRT($N9)*$B$3)/SQRT(3))*60000)/($B$12*$B$15)</f>
        <v>0</v>
      </c>
      <c r="R9" s="109" t="str">
        <f>IF(Q9="","","bis")</f>
        <v>bis</v>
      </c>
      <c r="S9" s="112">
        <f>(((SQRT($P9)*$B$3)/SQRT(3))*60000)/($B$12*$B$15)</f>
        <v>0</v>
      </c>
      <c r="T9" s="111"/>
      <c r="U9" s="109" t="str">
        <f>IF(T9="","","bis")</f>
        <v/>
      </c>
      <c r="V9" s="110"/>
      <c r="W9" s="111">
        <f>(((SQRT($T9)*$B$3)/SQRT(3))*60000)/($B$12*$B$15)</f>
        <v>0</v>
      </c>
      <c r="X9" s="109" t="str">
        <f>IF(W9="","","bis")</f>
        <v>bis</v>
      </c>
      <c r="Y9" s="112">
        <f>(((SQRT($V9)*$B$3)/SQRT(3))*60000)/($B$12*$B$15)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10</v>
      </c>
      <c r="B10" s="115">
        <f>(((SQRT(B5)*$B$3)/SQRT(3))*$C$15)/$A10</f>
        <v>83.138438763306112</v>
      </c>
      <c r="C10" s="115">
        <f>(((SQRT(C5)*$B$3)/SQRT(3))*$C$15)/$A10</f>
        <v>144</v>
      </c>
      <c r="D10" s="115">
        <f>(((SQRT(D5)*$B$3)/SQRT(3))*$C$15)/$A10</f>
        <v>203.64675298172568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1.4467592592592591</v>
      </c>
      <c r="C13" s="124">
        <f>(B12*B14*B15)/60000</f>
        <v>0.83333333333333337</v>
      </c>
      <c r="D13" s="120">
        <f>POWER(((SQRT(3)*$E$13)/$B$3),2)</f>
        <v>17.72280092592592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5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XkuqAVHgbfY0/eMzaauERY7q0h73f8n6fKlzgTM/QeCjwRMxGzIn26KS4/Bu3ym7GDjo7t49VRXqv3X9QmMbFA==" saltValue="ySSjcA79B8QWT43iNHWHMg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179" priority="8" operator="greaterThan">
      <formula>$B$12</formula>
    </cfRule>
  </conditionalFormatting>
  <conditionalFormatting sqref="C6">
    <cfRule type="cellIs" dxfId="178" priority="14" operator="greaterThan">
      <formula>$B$12</formula>
    </cfRule>
  </conditionalFormatting>
  <conditionalFormatting sqref="B6">
    <cfRule type="cellIs" dxfId="177" priority="15" operator="greaterThan">
      <formula>$B$12</formula>
    </cfRule>
  </conditionalFormatting>
  <conditionalFormatting sqref="B7">
    <cfRule type="cellIs" dxfId="176" priority="12" operator="greaterThan">
      <formula>$B$12</formula>
    </cfRule>
  </conditionalFormatting>
  <conditionalFormatting sqref="D10">
    <cfRule type="cellIs" dxfId="175" priority="1" operator="greaterThan">
      <formula>$B$12</formula>
    </cfRule>
  </conditionalFormatting>
  <conditionalFormatting sqref="D6">
    <cfRule type="cellIs" dxfId="174" priority="13" operator="greaterThan">
      <formula>$B$12</formula>
    </cfRule>
  </conditionalFormatting>
  <conditionalFormatting sqref="C7">
    <cfRule type="cellIs" dxfId="173" priority="11" operator="greaterThan">
      <formula>$B$12</formula>
    </cfRule>
  </conditionalFormatting>
  <conditionalFormatting sqref="D7">
    <cfRule type="cellIs" dxfId="172" priority="10" operator="greaterThan">
      <formula>$B$12</formula>
    </cfRule>
  </conditionalFormatting>
  <conditionalFormatting sqref="B8">
    <cfRule type="cellIs" dxfId="171" priority="9" operator="greaterThan">
      <formula>$B$12</formula>
    </cfRule>
  </conditionalFormatting>
  <conditionalFormatting sqref="B10">
    <cfRule type="cellIs" dxfId="170" priority="7" operator="greaterThan">
      <formula>$B$12</formula>
    </cfRule>
  </conditionalFormatting>
  <conditionalFormatting sqref="C8">
    <cfRule type="cellIs" dxfId="169" priority="6" operator="greaterThan">
      <formula>$B$12</formula>
    </cfRule>
  </conditionalFormatting>
  <conditionalFormatting sqref="D8">
    <cfRule type="cellIs" dxfId="168" priority="5" operator="greaterThan">
      <formula>$B$12</formula>
    </cfRule>
  </conditionalFormatting>
  <conditionalFormatting sqref="C9">
    <cfRule type="cellIs" dxfId="167" priority="4" operator="greaterThan">
      <formula>$B$12</formula>
    </cfRule>
  </conditionalFormatting>
  <conditionalFormatting sqref="D9">
    <cfRule type="cellIs" dxfId="166" priority="3" operator="greaterThan">
      <formula>$B$12</formula>
    </cfRule>
  </conditionalFormatting>
  <conditionalFormatting sqref="C10">
    <cfRule type="cellIs" dxfId="165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20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1" t="s">
        <v>70</v>
      </c>
      <c r="B3" s="415">
        <v>1.2</v>
      </c>
      <c r="C3" s="415"/>
      <c r="D3" s="416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2</v>
      </c>
      <c r="C5" s="104">
        <v>5</v>
      </c>
      <c r="D5" s="104">
        <v>8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195.95917942265427</v>
      </c>
      <c r="C6" s="106">
        <f>(((SQRT(C5)*$B$3)/SQRT(3))*$C$15)/$A6</f>
        <v>309.83866769659335</v>
      </c>
      <c r="D6" s="106">
        <f>(((SQRT(D5)*$B$3)/SQRT(3))*$C$15)/$A6</f>
        <v>391.91835884530855</v>
      </c>
      <c r="F6" s="107" t="str">
        <f>_2016b</f>
        <v>Lechler</v>
      </c>
      <c r="G6" s="107" t="str">
        <f>_2016c</f>
        <v>IDTA 120 03 C</v>
      </c>
      <c r="H6" s="108">
        <f>_2016h</f>
        <v>0</v>
      </c>
      <c r="I6" s="109" t="str">
        <f>IF(H6="","","bis")</f>
        <v>bis</v>
      </c>
      <c r="J6" s="110">
        <f>_2016i</f>
        <v>0</v>
      </c>
      <c r="K6" s="111">
        <f>(((SQRT($H6)*$B$3)/SQRT(3))*60000)/($B$12*$B$15)</f>
        <v>0</v>
      </c>
      <c r="L6" s="109" t="str">
        <f>IF(K6="","","bis")</f>
        <v>bis</v>
      </c>
      <c r="M6" s="112">
        <f>(((SQRT($J6)*$B$3)/SQRT(3))*60000)/($B$12*$B$15)</f>
        <v>0</v>
      </c>
      <c r="N6" s="110">
        <f>_2016j</f>
        <v>0</v>
      </c>
      <c r="O6" s="109" t="str">
        <f>IF(N6="","","bis")</f>
        <v>bis</v>
      </c>
      <c r="P6" s="112">
        <f>_2016k</f>
        <v>0</v>
      </c>
      <c r="Q6" s="111">
        <f>(((SQRT($N6)*$B$3)/SQRT(3))*60000)/($B$12*$B$15)</f>
        <v>0</v>
      </c>
      <c r="R6" s="109" t="str">
        <f>IF(Q6="","","bis")</f>
        <v>bis</v>
      </c>
      <c r="S6" s="112">
        <f>(((SQRT($P6)*$B$3)/SQRT(3))*60000)/($B$12*$B$15)</f>
        <v>0</v>
      </c>
      <c r="T6" s="111">
        <f>_2016l</f>
        <v>1.5</v>
      </c>
      <c r="U6" s="109" t="str">
        <f>IF(T6="","","bis")</f>
        <v>bis</v>
      </c>
      <c r="V6" s="110">
        <f>_2016m</f>
        <v>2</v>
      </c>
      <c r="W6" s="111">
        <f>(((SQRT($T6)*$B$3)/SQRT(3))*60000)/($B$12*$B$15)</f>
        <v>3.3941125496954281</v>
      </c>
      <c r="X6" s="109" t="str">
        <f>IF(W6="","","bis")</f>
        <v>bis</v>
      </c>
      <c r="Y6" s="110">
        <f>(((SQRT($V6)*$B$3)/SQRT(3))*60000)/($B$12*$B$15)</f>
        <v>3.9191835884530852</v>
      </c>
      <c r="Z6" s="113">
        <f>_2016f</f>
        <v>1.5</v>
      </c>
      <c r="AA6" s="109" t="str">
        <f>IF(Z6="","","bis")</f>
        <v>bis</v>
      </c>
      <c r="AB6" s="114">
        <f>_2016g</f>
        <v>8</v>
      </c>
    </row>
    <row r="7" spans="1:28" ht="18.75" thickBot="1" x14ac:dyDescent="0.3">
      <c r="A7" s="135">
        <v>7</v>
      </c>
      <c r="B7" s="106">
        <f>(((SQRT(B5)*$B$3)/SQRT(3))*$C$15)/$A7</f>
        <v>167.96501093370367</v>
      </c>
      <c r="C7" s="106">
        <f>(((SQRT(C5)*$B$3)/SQRT(3))*$C$15)/$A7</f>
        <v>265.57600088279429</v>
      </c>
      <c r="D7" s="106">
        <f>(((SQRT(D5)*$B$3)/SQRT(3))*$C$15)/$A7</f>
        <v>335.93002186740733</v>
      </c>
      <c r="F7" s="107" t="str">
        <f>_b2018b</f>
        <v>Lechler</v>
      </c>
      <c r="G7" s="107" t="str">
        <f>_b2018c</f>
        <v>PSAULDCQ2003</v>
      </c>
      <c r="H7" s="108">
        <f>_b2018h</f>
        <v>0</v>
      </c>
      <c r="I7" s="109" t="str">
        <f>IF(H7="","","bis")</f>
        <v>bis</v>
      </c>
      <c r="J7" s="112">
        <f>_b2018i</f>
        <v>0</v>
      </c>
      <c r="K7" s="111">
        <f>(((SQRT($H7)*$B$3)/SQRT(3))*60000)/($B$12*$B$15)</f>
        <v>0</v>
      </c>
      <c r="L7" s="109" t="str">
        <f>IF(K7="","","bis")</f>
        <v>bis</v>
      </c>
      <c r="M7" s="112">
        <f>(((SQRT($J7)*$B$3)/SQRT(3))*60000)/($B$12*$B$15)</f>
        <v>0</v>
      </c>
      <c r="N7" s="111">
        <f>_b2018j</f>
        <v>0</v>
      </c>
      <c r="O7" s="109" t="str">
        <f>IF(N7="","","bis")</f>
        <v>bis</v>
      </c>
      <c r="P7" s="112">
        <f>_b2018k</f>
        <v>0</v>
      </c>
      <c r="Q7" s="111">
        <f>(((SQRT($N7)*$B$3)/SQRT(3))*60000)/($B$12*$B$15)</f>
        <v>0</v>
      </c>
      <c r="R7" s="109" t="str">
        <f>IF(Q7="","","bis")</f>
        <v>bis</v>
      </c>
      <c r="S7" s="112">
        <f>(((SQRT($P7)*$B$3)/SQRT(3))*60000)/($B$12*$B$15)</f>
        <v>0</v>
      </c>
      <c r="T7" s="111">
        <f>_b2018l</f>
        <v>1.5</v>
      </c>
      <c r="U7" s="109" t="str">
        <f>IF(T7="","","bis")</f>
        <v>bis</v>
      </c>
      <c r="V7" s="112">
        <f>_b2018m</f>
        <v>2</v>
      </c>
      <c r="W7" s="111">
        <f>(((SQRT($T7)*$B$3)/SQRT(3))*60000)/($B$12*$B$15)</f>
        <v>3.3941125496954281</v>
      </c>
      <c r="X7" s="109" t="str">
        <f>IF(W7="","","bis")</f>
        <v>bis</v>
      </c>
      <c r="Y7" s="112">
        <f>(((SQRT($V7)*$B$3)/SQRT(3))*60000)/($B$12*$B$15)</f>
        <v>3.9191835884530852</v>
      </c>
      <c r="Z7" s="113">
        <f>_b2018f</f>
        <v>1.5</v>
      </c>
      <c r="AA7" s="109" t="str">
        <f>IF(Z7="","","bis")</f>
        <v>bis</v>
      </c>
      <c r="AB7" s="114">
        <f>_b2018g</f>
        <v>8</v>
      </c>
    </row>
    <row r="8" spans="1:28" ht="18.75" thickBot="1" x14ac:dyDescent="0.3">
      <c r="A8" s="135">
        <v>8</v>
      </c>
      <c r="B8" s="106">
        <f>(((SQRT(B5)*$B$3)/SQRT(3))*$C$15)/$A8</f>
        <v>146.9693845669907</v>
      </c>
      <c r="C8" s="106">
        <f>(((SQRT(C5)*$B$3)/SQRT(3))*1200)/$A8</f>
        <v>232.37900077244501</v>
      </c>
      <c r="D8" s="106">
        <f>(((SQRT(D5)*$B$3)/SQRT(3))*1200)/$A8</f>
        <v>293.9387691339814</v>
      </c>
      <c r="F8" s="107" t="str">
        <f>_2046b</f>
        <v>TeeJet</v>
      </c>
      <c r="G8" s="107" t="str">
        <f>_2046c</f>
        <v>TTI60-110 03 VP-C</v>
      </c>
      <c r="H8" s="108">
        <f>_2046h</f>
        <v>1.5</v>
      </c>
      <c r="I8" s="109" t="str">
        <f>IF(H8="","","bis")</f>
        <v>bis</v>
      </c>
      <c r="J8" s="112">
        <f>_2046i</f>
        <v>7</v>
      </c>
      <c r="K8" s="111">
        <f>(((SQRT($H8)*$B$3)/SQRT(3))*60000)/($B$12*$B$15)</f>
        <v>3.3941125496954281</v>
      </c>
      <c r="L8" s="109" t="str">
        <f>IF(K8="","","bis")</f>
        <v>bis</v>
      </c>
      <c r="M8" s="112">
        <f>(((SQRT($J8)*$B$3)/SQRT(3))*60000)/($B$12*$B$15)</f>
        <v>7.3321211119293448</v>
      </c>
      <c r="N8" s="111">
        <f>_2046j</f>
        <v>1.5</v>
      </c>
      <c r="O8" s="109" t="str">
        <f>IF(N8="","","bis")</f>
        <v>bis</v>
      </c>
      <c r="P8" s="112">
        <f>_2046k</f>
        <v>5</v>
      </c>
      <c r="Q8" s="111">
        <f>(((SQRT($N8)*$B$3)/SQRT(3))*60000)/($B$12*$B$15)</f>
        <v>3.3941125496954281</v>
      </c>
      <c r="R8" s="109" t="str">
        <f>IF(Q8="","","bis")</f>
        <v>bis</v>
      </c>
      <c r="S8" s="112">
        <f>(((SQRT($P8)*$B$3)/SQRT(3))*60000)/($B$12*$B$15)</f>
        <v>6.1967733539318672</v>
      </c>
      <c r="T8" s="111">
        <f>_2046l</f>
        <v>1.5</v>
      </c>
      <c r="U8" s="109" t="str">
        <f>IF(T8="","","bis")</f>
        <v>bis</v>
      </c>
      <c r="V8" s="112">
        <f>_2046m</f>
        <v>3</v>
      </c>
      <c r="W8" s="111">
        <f>(((SQRT($T8)*$B$3)/SQRT(3))*60000)/($B$12*$B$15)</f>
        <v>3.3941125496954281</v>
      </c>
      <c r="X8" s="109" t="str">
        <f>IF(W8="","","bis")</f>
        <v>bis</v>
      </c>
      <c r="Y8" s="112">
        <f>(((SQRT($V8)*$B$3)/SQRT(3))*60000)/($B$12*$B$15)</f>
        <v>4.8</v>
      </c>
      <c r="Z8" s="113">
        <f>_2046f</f>
        <v>1.5</v>
      </c>
      <c r="AA8" s="109" t="str">
        <f>IF(Z8="","","bis")</f>
        <v>bis</v>
      </c>
      <c r="AB8" s="114">
        <f>_2046g</f>
        <v>7</v>
      </c>
    </row>
    <row r="9" spans="1:28" ht="18.75" thickBot="1" x14ac:dyDescent="0.3">
      <c r="A9" s="135">
        <v>9</v>
      </c>
      <c r="B9" s="106">
        <f>(((SQRT(B5)*$B$3)/SQRT(3))*$C$15)/$A9</f>
        <v>130.63945294843617</v>
      </c>
      <c r="C9" s="106">
        <f>(((SQRT(C5)*$B$3)/SQRT(3))*$C$15)/$A9</f>
        <v>206.55911179772889</v>
      </c>
      <c r="D9" s="106">
        <f>(((SQRT(D5)*$B$3)/SQRT(3))*$C$15)/$A9</f>
        <v>261.27890589687235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(((SQRT($H9)*$B$3)/SQRT(3))*60000)/($B$12*$B$15)</f>
        <v>0</v>
      </c>
      <c r="L9" s="109" t="str">
        <f>IF(K9="","","bis")</f>
        <v>bis</v>
      </c>
      <c r="M9" s="112">
        <f>(((SQRT($J9)*$B$3)/SQRT(3))*60000)/($B$12*$B$15)</f>
        <v>0</v>
      </c>
      <c r="N9" s="111"/>
      <c r="O9" s="109" t="str">
        <f>IF(N9="","","bis")</f>
        <v/>
      </c>
      <c r="P9" s="112"/>
      <c r="Q9" s="111">
        <f>(((SQRT($N9)*$B$3)/SQRT(3))*60000)/($B$12*$B$15)</f>
        <v>0</v>
      </c>
      <c r="R9" s="109" t="str">
        <f>IF(Q9="","","bis")</f>
        <v>bis</v>
      </c>
      <c r="S9" s="112">
        <f>(((SQRT($P9)*$B$3)/SQRT(3))*60000)/($B$12*$B$15)</f>
        <v>0</v>
      </c>
      <c r="T9" s="111"/>
      <c r="U9" s="109" t="str">
        <f>IF(T9="","","bis")</f>
        <v/>
      </c>
      <c r="V9" s="110"/>
      <c r="W9" s="111">
        <f>(((SQRT($T9)*$B$3)/SQRT(3))*60000)/($B$12*$B$15)</f>
        <v>0</v>
      </c>
      <c r="X9" s="109" t="str">
        <f>IF(W9="","","bis")</f>
        <v>bis</v>
      </c>
      <c r="Y9" s="112">
        <f>(((SQRT($V9)*$B$3)/SQRT(3))*60000)/($B$12*$B$15)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10</v>
      </c>
      <c r="B10" s="115">
        <f>(((SQRT(B5)*$B$3)/SQRT(3))*$C$15)/$A10</f>
        <v>117.57550765359255</v>
      </c>
      <c r="C10" s="115">
        <f>(((SQRT(C5)*$B$3)/SQRT(3))*$C$15)/$A10</f>
        <v>185.903200617956</v>
      </c>
      <c r="D10" s="115">
        <f>(((SQRT(D5)*$B$3)/SQRT(3))*$C$15)/$A10</f>
        <v>235.15101530718511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300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4.6875000000000009</v>
      </c>
      <c r="C13" s="124">
        <f>(B12*B14*B15)/60000</f>
        <v>1.5</v>
      </c>
      <c r="D13" s="120">
        <f>POWER(((SQRT(3)*$E$13)/$B$3),2)</f>
        <v>17.72280092592592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6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pox/ceGm5hEJqeFMq3sqniEoQ7l9FnldQG70ESxmH81UVWYRUANippDobtgh+xmoK/TZrOTOwOAuCL7do0XHwQ==" saltValue="yfBeSZkCiN59aHSLjq1uCA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9">
    <cfRule type="cellIs" dxfId="164" priority="8" operator="greaterThan">
      <formula>$B$12</formula>
    </cfRule>
  </conditionalFormatting>
  <conditionalFormatting sqref="C6">
    <cfRule type="cellIs" dxfId="163" priority="14" operator="greaterThan">
      <formula>$B$12</formula>
    </cfRule>
  </conditionalFormatting>
  <conditionalFormatting sqref="B6">
    <cfRule type="cellIs" dxfId="162" priority="15" operator="greaterThan">
      <formula>$B$12</formula>
    </cfRule>
  </conditionalFormatting>
  <conditionalFormatting sqref="B7">
    <cfRule type="cellIs" dxfId="161" priority="12" operator="greaterThan">
      <formula>$B$12</formula>
    </cfRule>
  </conditionalFormatting>
  <conditionalFormatting sqref="D10">
    <cfRule type="cellIs" dxfId="160" priority="1" operator="greaterThan">
      <formula>$B$12</formula>
    </cfRule>
  </conditionalFormatting>
  <conditionalFormatting sqref="D6">
    <cfRule type="cellIs" dxfId="159" priority="13" operator="greaterThan">
      <formula>$B$12</formula>
    </cfRule>
  </conditionalFormatting>
  <conditionalFormatting sqref="C7">
    <cfRule type="cellIs" dxfId="158" priority="11" operator="greaterThan">
      <formula>$B$12</formula>
    </cfRule>
  </conditionalFormatting>
  <conditionalFormatting sqref="D7">
    <cfRule type="cellIs" dxfId="157" priority="10" operator="greaterThan">
      <formula>$B$12</formula>
    </cfRule>
  </conditionalFormatting>
  <conditionalFormatting sqref="B8">
    <cfRule type="cellIs" dxfId="156" priority="9" operator="greaterThan">
      <formula>$B$12</formula>
    </cfRule>
  </conditionalFormatting>
  <conditionalFormatting sqref="B10">
    <cfRule type="cellIs" dxfId="155" priority="7" operator="greaterThan">
      <formula>$B$12</formula>
    </cfRule>
  </conditionalFormatting>
  <conditionalFormatting sqref="C8">
    <cfRule type="cellIs" dxfId="154" priority="6" operator="greaterThan">
      <formula>$B$12</formula>
    </cfRule>
  </conditionalFormatting>
  <conditionalFormatting sqref="D8">
    <cfRule type="cellIs" dxfId="153" priority="5" operator="greaterThan">
      <formula>$B$12</formula>
    </cfRule>
  </conditionalFormatting>
  <conditionalFormatting sqref="C9">
    <cfRule type="cellIs" dxfId="152" priority="4" operator="greaterThan">
      <formula>$B$12</formula>
    </cfRule>
  </conditionalFormatting>
  <conditionalFormatting sqref="D9">
    <cfRule type="cellIs" dxfId="151" priority="3" operator="greaterThan">
      <formula>$B$12</formula>
    </cfRule>
  </conditionalFormatting>
  <conditionalFormatting sqref="C10">
    <cfRule type="cellIs" dxfId="150" priority="2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12.6640625" style="63" bestFit="1" customWidth="1"/>
    <col min="4" max="4" width="9.77734375" style="63" bestFit="1" customWidth="1"/>
    <col min="5" max="5" width="8.88671875" style="63"/>
    <col min="6" max="6" width="14.5546875" style="63" bestFit="1" customWidth="1"/>
    <col min="7" max="7" width="20" style="63" bestFit="1" customWidth="1"/>
    <col min="8" max="8" width="20" style="63" customWidth="1"/>
    <col min="9" max="9" width="9.77734375" style="63" bestFit="1" customWidth="1"/>
    <col min="10" max="15" width="5.21875" style="63" customWidth="1"/>
    <col min="16" max="21" width="5.21875" style="100" customWidth="1"/>
    <col min="22" max="29" width="5.21875" style="63" customWidth="1"/>
    <col min="30" max="16384" width="8.88671875" style="63"/>
  </cols>
  <sheetData>
    <row r="1" spans="1:21" x14ac:dyDescent="0.25">
      <c r="A1" s="99"/>
      <c r="I1" s="100"/>
      <c r="P1" s="63"/>
      <c r="Q1" s="63"/>
      <c r="R1" s="63"/>
      <c r="S1" s="63"/>
      <c r="T1" s="63"/>
      <c r="U1" s="63"/>
    </row>
    <row r="2" spans="1:21" ht="18.75" thickBot="1" x14ac:dyDescent="0.3">
      <c r="I2" s="100"/>
      <c r="P2" s="63"/>
      <c r="Q2" s="63"/>
      <c r="R2" s="63"/>
      <c r="S2" s="63"/>
      <c r="T2" s="63"/>
      <c r="U2" s="63"/>
    </row>
    <row r="3" spans="1:21" ht="18.75" thickBot="1" x14ac:dyDescent="0.3">
      <c r="A3" s="141" t="s">
        <v>70</v>
      </c>
      <c r="B3" s="415">
        <v>1.2</v>
      </c>
      <c r="C3" s="415"/>
      <c r="D3" s="416"/>
      <c r="I3" s="100"/>
      <c r="P3" s="63"/>
      <c r="Q3" s="63"/>
      <c r="R3" s="63"/>
      <c r="S3" s="63"/>
      <c r="T3" s="63"/>
      <c r="U3" s="63"/>
    </row>
    <row r="4" spans="1:21" ht="18.75" thickBot="1" x14ac:dyDescent="0.3">
      <c r="I4" s="207">
        <v>90</v>
      </c>
      <c r="J4" s="208"/>
      <c r="K4" s="208"/>
      <c r="L4" s="208"/>
      <c r="M4" s="208"/>
      <c r="N4" s="387"/>
      <c r="O4" s="388" t="s">
        <v>53</v>
      </c>
      <c r="P4" s="389"/>
      <c r="Q4" s="390"/>
      <c r="R4" s="63"/>
      <c r="S4" s="63"/>
      <c r="T4" s="63"/>
      <c r="U4" s="63"/>
    </row>
    <row r="5" spans="1:21" ht="18.75" thickBot="1" x14ac:dyDescent="0.3">
      <c r="A5" s="102" t="s">
        <v>54</v>
      </c>
      <c r="B5" s="103">
        <v>1</v>
      </c>
      <c r="C5" s="104">
        <v>2</v>
      </c>
      <c r="D5" s="104">
        <v>3</v>
      </c>
      <c r="F5" s="102" t="s">
        <v>55</v>
      </c>
      <c r="G5" s="142" t="s">
        <v>128</v>
      </c>
      <c r="H5" s="202" t="s">
        <v>4</v>
      </c>
      <c r="I5" s="207" t="s">
        <v>57</v>
      </c>
      <c r="J5" s="208"/>
      <c r="K5" s="387"/>
      <c r="L5" s="398" t="s">
        <v>58</v>
      </c>
      <c r="M5" s="399"/>
      <c r="N5" s="400"/>
      <c r="O5" s="391"/>
      <c r="P5" s="392"/>
      <c r="Q5" s="393"/>
      <c r="R5" s="63"/>
      <c r="S5" s="63"/>
      <c r="T5" s="63"/>
      <c r="U5" s="63"/>
    </row>
    <row r="6" spans="1:21" ht="18.75" thickBot="1" x14ac:dyDescent="0.3">
      <c r="A6" s="134">
        <v>4</v>
      </c>
      <c r="B6" s="106">
        <f>(((SQRT($B$5)*$B$3)/SQRT(3))*60000)/($A$6*$B$16)</f>
        <v>346.41016151377545</v>
      </c>
      <c r="C6" s="106">
        <f>(((SQRT($C$5)*$B$3)/SQRT(3))*60000)/($A$6*$B$16)</f>
        <v>489.8979485566357</v>
      </c>
      <c r="D6" s="106">
        <f>(((SQRT($D$5)*$B$3)/SQRT(3))*60000)/($A$6*$B$16)</f>
        <v>600</v>
      </c>
      <c r="F6" s="107" t="s">
        <v>128</v>
      </c>
      <c r="G6" s="107" t="s">
        <v>152</v>
      </c>
      <c r="H6" s="430"/>
      <c r="I6" s="111">
        <v>1</v>
      </c>
      <c r="J6" s="109" t="str">
        <f>IF(I6="","","bis")</f>
        <v>bis</v>
      </c>
      <c r="K6" s="112">
        <v>3</v>
      </c>
      <c r="L6" s="111">
        <f>(((SQRT($I6)*$B$3)/SQRT(3))*60000)/($B$12*$B$16)</f>
        <v>4.6188021535170058</v>
      </c>
      <c r="M6" s="109" t="str">
        <f>IF(L6="","","bis")</f>
        <v>bis</v>
      </c>
      <c r="N6" s="112">
        <f>(((SQRT($K6)*$B$3)/SQRT(3))*60000)/($B$12*$B$16)</f>
        <v>8</v>
      </c>
      <c r="O6" s="113">
        <v>1</v>
      </c>
      <c r="P6" s="109" t="str">
        <f>IF(O6="","","bis")</f>
        <v>bis</v>
      </c>
      <c r="Q6" s="114">
        <v>6</v>
      </c>
      <c r="R6" s="63"/>
      <c r="S6" s="63"/>
      <c r="T6" s="63"/>
      <c r="U6" s="63"/>
    </row>
    <row r="7" spans="1:21" ht="18.75" thickBot="1" x14ac:dyDescent="0.3">
      <c r="A7" s="135">
        <v>5</v>
      </c>
      <c r="B7" s="106">
        <f>(((SQRT($B$5)*$B$3)/SQRT(3))*60000)/($A$7*$B$16)</f>
        <v>277.12812921102039</v>
      </c>
      <c r="C7" s="106">
        <f>(((SQRT($C$5)*$B$3)/SQRT(3))*60000)/($A$7*$B$16)</f>
        <v>391.91835884530855</v>
      </c>
      <c r="D7" s="106">
        <f>(((SQRT($D$5)*$B$3)/SQRT(3))*60000)/($A$7*$B$16)</f>
        <v>480</v>
      </c>
      <c r="F7" s="107" t="s">
        <v>98</v>
      </c>
      <c r="G7" s="431"/>
      <c r="H7" s="425" t="s">
        <v>232</v>
      </c>
      <c r="I7" s="111">
        <v>1.5</v>
      </c>
      <c r="J7" s="109" t="str">
        <f>IF(I7="","","bis")</f>
        <v>bis</v>
      </c>
      <c r="K7" s="112">
        <v>3</v>
      </c>
      <c r="L7" s="111">
        <f>(((SQRT($I7)*$B$3)/SQRT(3))*60000)/($B$12*$B$16)</f>
        <v>5.6568542494923797</v>
      </c>
      <c r="M7" s="109" t="str">
        <f>IF(L7="","","bis")</f>
        <v>bis</v>
      </c>
      <c r="N7" s="112">
        <f>(((SQRT($K7)*$B$3)/SQRT(3))*60000)/($B$12*$B$16)</f>
        <v>8</v>
      </c>
      <c r="O7" s="113">
        <v>1.5</v>
      </c>
      <c r="P7" s="109" t="str">
        <f>IF(O7="","","bis")</f>
        <v>bis</v>
      </c>
      <c r="Q7" s="114">
        <v>6</v>
      </c>
      <c r="R7" s="63"/>
      <c r="S7" s="63"/>
      <c r="T7" s="63"/>
      <c r="U7" s="63"/>
    </row>
    <row r="8" spans="1:21" ht="18.75" thickBot="1" x14ac:dyDescent="0.3">
      <c r="A8" s="135">
        <v>6</v>
      </c>
      <c r="B8" s="106">
        <f>(((SQRT($B$5)*$B$3)/SQRT(3))*60000)/($A$8*$B$16)</f>
        <v>230.9401076758503</v>
      </c>
      <c r="C8" s="106">
        <f>(((SQRT($C$5)*$B$3)/SQRT(3))*60000)/($A$8*$B$16)</f>
        <v>326.59863237109045</v>
      </c>
      <c r="D8" s="106">
        <f>(((SQRT($D$5)*$B$3)/SQRT(3))*60000)/($A$8*$B$16)</f>
        <v>400</v>
      </c>
      <c r="F8" s="107" t="s">
        <v>92</v>
      </c>
      <c r="G8" s="431"/>
      <c r="H8" s="425" t="s">
        <v>233</v>
      </c>
      <c r="I8" s="111">
        <v>2</v>
      </c>
      <c r="J8" s="109" t="str">
        <f>IF(I8="","","bis")</f>
        <v>bis</v>
      </c>
      <c r="K8" s="112">
        <v>8</v>
      </c>
      <c r="L8" s="111">
        <f>(((SQRT($I8)*$B$3)/SQRT(3))*60000)/($B$12*$B$16)</f>
        <v>6.5319726474218092</v>
      </c>
      <c r="M8" s="109" t="str">
        <f>IF(L8="","","bis")</f>
        <v>bis</v>
      </c>
      <c r="N8" s="112">
        <f>(((SQRT($K8)*$B$3)/SQRT(3))*60000)/($B$12*$B$16)</f>
        <v>13.063945294843618</v>
      </c>
      <c r="O8" s="113">
        <v>2</v>
      </c>
      <c r="P8" s="109" t="str">
        <f>IF(O8="","","bis")</f>
        <v>bis</v>
      </c>
      <c r="Q8" s="114">
        <v>8</v>
      </c>
      <c r="R8" s="63"/>
      <c r="S8" s="63"/>
      <c r="T8" s="63"/>
      <c r="U8" s="63"/>
    </row>
    <row r="9" spans="1:21" ht="18.75" thickBot="1" x14ac:dyDescent="0.3">
      <c r="A9" s="135">
        <v>7</v>
      </c>
      <c r="B9" s="106">
        <f>(((SQRT($B$5)*$B$3)/SQRT(3))*60000)/($A$9*$B$16)</f>
        <v>197.94866372215742</v>
      </c>
      <c r="C9" s="106">
        <f>(((SQRT($C$5)*$B$3)/SQRT(3))*60000)/($A$9*$B$16)</f>
        <v>279.94168488950612</v>
      </c>
      <c r="D9" s="106">
        <f>(((SQRT($D$5)*$B$3)/SQRT(3))*60000)/($A$9*$B$16)</f>
        <v>342.85714285714283</v>
      </c>
      <c r="F9" s="107" t="s">
        <v>98</v>
      </c>
      <c r="G9" s="431"/>
      <c r="H9" s="425" t="s">
        <v>235</v>
      </c>
      <c r="I9" s="111">
        <v>4</v>
      </c>
      <c r="J9" s="109" t="str">
        <f>IF(I9="","","bis")</f>
        <v>bis</v>
      </c>
      <c r="K9" s="110">
        <v>8</v>
      </c>
      <c r="L9" s="111">
        <f>(((SQRT($I9)*$B$3)/SQRT(3))*60000)/($B$12*$B$16)</f>
        <v>9.2376043070340117</v>
      </c>
      <c r="M9" s="109" t="str">
        <f>IF(L9="","","bis")</f>
        <v>bis</v>
      </c>
      <c r="N9" s="112">
        <f>(((SQRT($K9)*$B$3)/SQRT(3))*60000)/($B$12*$B$16)</f>
        <v>13.063945294843618</v>
      </c>
      <c r="O9" s="113">
        <v>4</v>
      </c>
      <c r="P9" s="109" t="str">
        <f>IF(O9="","","bis")</f>
        <v>bis</v>
      </c>
      <c r="Q9" s="114">
        <v>8</v>
      </c>
      <c r="R9" s="63"/>
      <c r="S9" s="63"/>
      <c r="T9" s="63"/>
      <c r="U9" s="63"/>
    </row>
    <row r="10" spans="1:21" ht="18.75" thickBot="1" x14ac:dyDescent="0.3">
      <c r="A10" s="136">
        <v>8</v>
      </c>
      <c r="B10" s="115">
        <f>(((SQRT($B$5)*$B$3)/SQRT(3))*60000)/($A$10*$B$16)</f>
        <v>173.20508075688772</v>
      </c>
      <c r="C10" s="115">
        <f>(((SQRT($C$5)*$B$3)/SQRT(3))*60000)/($A$10*$B$16)</f>
        <v>244.94897427831785</v>
      </c>
      <c r="D10" s="115">
        <f>(((SQRT($D$5)*$B$3)/SQRT(3))*60000)/($A$10*$B$16)</f>
        <v>300</v>
      </c>
      <c r="F10" s="107"/>
      <c r="G10" s="107"/>
      <c r="H10" s="425"/>
      <c r="I10" s="111"/>
      <c r="J10" s="109" t="str">
        <f>IF(I10="","","bis")</f>
        <v/>
      </c>
      <c r="K10" s="112"/>
      <c r="L10" s="111">
        <f>(((SQRT($I10)*$B$3)/SQRT(3))*60000)/($B$12*$B$16)</f>
        <v>0</v>
      </c>
      <c r="M10" s="109" t="str">
        <f>IF(L10="","","bis")</f>
        <v>bis</v>
      </c>
      <c r="N10" s="112">
        <f>(((SQRT($K10)*$B$3)/SQRT(3))*60000)/($B$12*$B$16)</f>
        <v>0</v>
      </c>
      <c r="O10" s="113"/>
      <c r="P10" s="109" t="str">
        <f>IF(O10="","","bis")</f>
        <v/>
      </c>
      <c r="Q10" s="114"/>
      <c r="R10" s="63"/>
      <c r="S10" s="63"/>
      <c r="T10" s="63"/>
      <c r="U10" s="63"/>
    </row>
    <row r="11" spans="1:21" ht="18.75" thickBot="1" x14ac:dyDescent="0.3">
      <c r="K11" s="116"/>
    </row>
    <row r="12" spans="1:21" ht="18.75" thickBot="1" x14ac:dyDescent="0.3">
      <c r="A12" s="117" t="s">
        <v>60</v>
      </c>
      <c r="B12" s="64">
        <v>300</v>
      </c>
      <c r="C12" s="66"/>
      <c r="D12" s="417"/>
      <c r="E12" s="417"/>
      <c r="F12" s="123"/>
      <c r="G12" s="119"/>
      <c r="H12" s="119"/>
    </row>
    <row r="13" spans="1:21" ht="18.75" thickBot="1" x14ac:dyDescent="0.3">
      <c r="A13" s="117" t="s">
        <v>61</v>
      </c>
      <c r="B13" s="120">
        <f>POWER(((SQRT(3)*$C$13)/$B$3),2)</f>
        <v>1.1718750000000002</v>
      </c>
      <c r="C13" s="121">
        <f>(B12*B14*B16)/60000</f>
        <v>0.75</v>
      </c>
      <c r="D13" s="418"/>
      <c r="E13" s="418"/>
      <c r="F13" s="123"/>
      <c r="G13" s="119"/>
      <c r="H13" s="119"/>
    </row>
    <row r="14" spans="1:21" ht="18.75" thickBot="1" x14ac:dyDescent="0.3">
      <c r="A14" s="117" t="s">
        <v>62</v>
      </c>
      <c r="B14" s="78">
        <v>5</v>
      </c>
      <c r="D14" s="140"/>
      <c r="E14" s="119"/>
      <c r="F14" s="137"/>
      <c r="G14" s="119"/>
      <c r="H14" s="119"/>
    </row>
    <row r="15" spans="1:21" ht="18.75" thickBot="1" x14ac:dyDescent="0.3">
      <c r="A15" s="117"/>
      <c r="B15" s="123"/>
      <c r="C15" s="124"/>
      <c r="D15" s="417"/>
      <c r="E15" s="417"/>
      <c r="F15" s="138"/>
      <c r="G15" s="138"/>
      <c r="H15" s="138"/>
    </row>
    <row r="16" spans="1:21" ht="18.75" thickBot="1" x14ac:dyDescent="0.3">
      <c r="A16" s="125" t="s">
        <v>63</v>
      </c>
      <c r="B16" s="126">
        <v>30</v>
      </c>
    </row>
    <row r="17" spans="1:3" ht="18.75" thickBot="1" x14ac:dyDescent="0.3">
      <c r="A17" s="122" t="s">
        <v>64</v>
      </c>
      <c r="B17" s="126">
        <v>120</v>
      </c>
    </row>
    <row r="18" spans="1:3" ht="18.75" thickBot="1" x14ac:dyDescent="0.3">
      <c r="A18" s="127" t="s">
        <v>65</v>
      </c>
      <c r="B18" s="128">
        <f>(B16*100)/B17</f>
        <v>25</v>
      </c>
    </row>
    <row r="19" spans="1:3" ht="18.75" thickBot="1" x14ac:dyDescent="0.3">
      <c r="A19" s="125" t="s">
        <v>66</v>
      </c>
      <c r="B19" s="129">
        <v>3</v>
      </c>
      <c r="C19" s="130">
        <f>(B16/B17)*B19</f>
        <v>0.75</v>
      </c>
    </row>
    <row r="20" spans="1:3" ht="18.75" thickBot="1" x14ac:dyDescent="0.3">
      <c r="A20" s="63" t="s">
        <v>67</v>
      </c>
      <c r="B20" s="131">
        <v>3</v>
      </c>
      <c r="C20" s="132">
        <f>(B20*C19)</f>
        <v>2.25</v>
      </c>
    </row>
    <row r="21" spans="1:3" ht="18.75" thickBot="1" x14ac:dyDescent="0.3">
      <c r="A21" s="63" t="s">
        <v>80</v>
      </c>
      <c r="C21" s="151">
        <f>(B12*C19)/1</f>
        <v>225</v>
      </c>
    </row>
  </sheetData>
  <sheetProtection algorithmName="SHA-512" hashValue="0iC2auaRwkDpRN9XoscZ6hzQ/cdEOsUXhQ7wLSwFoVE5EQ5c3+5m6k2AsEPM/kBwlEhGj2rbTBUHmwwc2o0bPQ==" saltValue="0TZXUaY6cvGLZQogARVfPA==" spinCount="100000" sheet="1" objects="1" scenarios="1"/>
  <mergeCells count="8">
    <mergeCell ref="D13:E13"/>
    <mergeCell ref="D15:E15"/>
    <mergeCell ref="B3:D3"/>
    <mergeCell ref="I4:N4"/>
    <mergeCell ref="O4:Q5"/>
    <mergeCell ref="I5:K5"/>
    <mergeCell ref="L5:N5"/>
    <mergeCell ref="D12:E12"/>
  </mergeCells>
  <conditionalFormatting sqref="B6">
    <cfRule type="cellIs" dxfId="59" priority="15" operator="greaterThan">
      <formula>$B$12</formula>
    </cfRule>
  </conditionalFormatting>
  <conditionalFormatting sqref="C6">
    <cfRule type="cellIs" dxfId="58" priority="14" operator="greaterThan">
      <formula>$B$12</formula>
    </cfRule>
  </conditionalFormatting>
  <conditionalFormatting sqref="D6">
    <cfRule type="cellIs" dxfId="57" priority="13" operator="greaterThan">
      <formula>$B$12</formula>
    </cfRule>
  </conditionalFormatting>
  <conditionalFormatting sqref="B7">
    <cfRule type="cellIs" dxfId="56" priority="12" operator="greaterThan">
      <formula>$B$12</formula>
    </cfRule>
  </conditionalFormatting>
  <conditionalFormatting sqref="C7">
    <cfRule type="cellIs" dxfId="55" priority="11" operator="greaterThan">
      <formula>$B$12</formula>
    </cfRule>
  </conditionalFormatting>
  <conditionalFormatting sqref="D7">
    <cfRule type="cellIs" dxfId="54" priority="10" operator="greaterThan">
      <formula>$B$12</formula>
    </cfRule>
  </conditionalFormatting>
  <conditionalFormatting sqref="B8">
    <cfRule type="cellIs" dxfId="53" priority="9" operator="greaterThan">
      <formula>$B$12</formula>
    </cfRule>
  </conditionalFormatting>
  <conditionalFormatting sqref="C8">
    <cfRule type="cellIs" dxfId="52" priority="8" operator="greaterThan">
      <formula>$B$12</formula>
    </cfRule>
  </conditionalFormatting>
  <conditionalFormatting sqref="D8">
    <cfRule type="cellIs" dxfId="51" priority="7" operator="greaterThan">
      <formula>$B$12</formula>
    </cfRule>
  </conditionalFormatting>
  <conditionalFormatting sqref="B9">
    <cfRule type="cellIs" dxfId="50" priority="6" operator="greaterThan">
      <formula>$B$12</formula>
    </cfRule>
  </conditionalFormatting>
  <conditionalFormatting sqref="B10">
    <cfRule type="cellIs" dxfId="49" priority="5" operator="greaterThan">
      <formula>$B$12</formula>
    </cfRule>
  </conditionalFormatting>
  <conditionalFormatting sqref="C9">
    <cfRule type="cellIs" dxfId="48" priority="4" operator="greaterThan">
      <formula>$B$12</formula>
    </cfRule>
  </conditionalFormatting>
  <conditionalFormatting sqref="D9">
    <cfRule type="cellIs" dxfId="47" priority="3" operator="greaterThan">
      <formula>$B$12</formula>
    </cfRule>
  </conditionalFormatting>
  <conditionalFormatting sqref="C10">
    <cfRule type="cellIs" dxfId="46" priority="2" operator="greaterThan">
      <formula>$B$12</formula>
    </cfRule>
  </conditionalFormatting>
  <conditionalFormatting sqref="D10">
    <cfRule type="cellIs" dxfId="45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B7" sqref="B7"/>
    </sheetView>
  </sheetViews>
  <sheetFormatPr baseColWidth="10" defaultColWidth="11.5546875" defaultRowHeight="15" x14ac:dyDescent="0.2"/>
  <cols>
    <col min="1" max="1" width="27.5546875" style="152" customWidth="1"/>
    <col min="2" max="5" width="11.5546875" style="152"/>
    <col min="6" max="6" width="14.44140625" style="152" bestFit="1" customWidth="1"/>
    <col min="7" max="16384" width="11.5546875" style="152"/>
  </cols>
  <sheetData>
    <row r="1" spans="1:14" x14ac:dyDescent="0.2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178" customFormat="1" ht="15.75" x14ac:dyDescent="0.25">
      <c r="A2" s="191"/>
      <c r="B2" s="191"/>
      <c r="C2" s="191"/>
      <c r="D2" s="192"/>
      <c r="E2" s="192"/>
      <c r="F2" s="192"/>
      <c r="G2" s="193"/>
      <c r="H2" s="192"/>
      <c r="I2" s="192"/>
      <c r="J2" s="192"/>
      <c r="K2" s="192"/>
      <c r="L2" s="192"/>
      <c r="M2" s="192"/>
      <c r="N2" s="192"/>
    </row>
    <row r="3" spans="1:14" ht="15.75" thickBot="1" x14ac:dyDescent="0.25"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thickBot="1" x14ac:dyDescent="0.25">
      <c r="A4" s="153" t="s">
        <v>81</v>
      </c>
      <c r="B4" s="154">
        <v>1.1000000000000001</v>
      </c>
      <c r="D4" s="3">
        <f t="shared" ref="D4:N4" si="0">(SQRT(3)*$G$20)/D7</f>
        <v>9.5262794416288248</v>
      </c>
      <c r="E4" s="3">
        <f t="shared" si="0"/>
        <v>6.3508529610858835</v>
      </c>
      <c r="F4" s="3">
        <f t="shared" si="0"/>
        <v>4.7631397208144124</v>
      </c>
      <c r="G4" s="3">
        <f t="shared" si="0"/>
        <v>3.1754264805429417</v>
      </c>
      <c r="H4" s="3">
        <f t="shared" si="0"/>
        <v>2.3815698604072062</v>
      </c>
      <c r="I4" s="3">
        <f t="shared" si="0"/>
        <v>1.9052558883257651</v>
      </c>
      <c r="J4" s="3">
        <f t="shared" si="0"/>
        <v>1.5877132402714709</v>
      </c>
      <c r="K4" s="3">
        <f t="shared" si="0"/>
        <v>1.3608970630898323</v>
      </c>
      <c r="L4" s="3">
        <f t="shared" si="0"/>
        <v>1.1907849302036031</v>
      </c>
      <c r="M4" s="3">
        <f t="shared" si="0"/>
        <v>0.95262794416288255</v>
      </c>
      <c r="N4" s="3">
        <f t="shared" si="0"/>
        <v>0.79385662013573544</v>
      </c>
    </row>
    <row r="5" spans="1:14" ht="16.5" thickBot="1" x14ac:dyDescent="0.3">
      <c r="A5" s="153" t="s">
        <v>1</v>
      </c>
      <c r="B5" s="155">
        <v>6</v>
      </c>
      <c r="D5" s="337" t="s">
        <v>2</v>
      </c>
      <c r="E5" s="338"/>
      <c r="F5" s="338"/>
      <c r="G5" s="338"/>
      <c r="H5" s="338"/>
      <c r="I5" s="338"/>
      <c r="J5" s="338"/>
      <c r="K5" s="338"/>
      <c r="L5" s="338"/>
      <c r="M5" s="338"/>
      <c r="N5" s="339"/>
    </row>
    <row r="6" spans="1:14" ht="21.75" thickBot="1" x14ac:dyDescent="0.25">
      <c r="A6" s="153" t="s">
        <v>3</v>
      </c>
      <c r="B6" s="156">
        <v>800</v>
      </c>
      <c r="C6" s="157" t="s">
        <v>4</v>
      </c>
      <c r="D6" s="158" t="s">
        <v>5</v>
      </c>
      <c r="E6" s="159" t="s">
        <v>6</v>
      </c>
      <c r="F6" s="160" t="str">
        <f>"01"</f>
        <v>01</v>
      </c>
      <c r="G6" s="161" t="str">
        <f>"015"</f>
        <v>015</v>
      </c>
      <c r="H6" s="162" t="str">
        <f>"02"</f>
        <v>02</v>
      </c>
      <c r="I6" s="163" t="str">
        <f>"025"</f>
        <v>025</v>
      </c>
      <c r="J6" s="164" t="str">
        <f>"03"</f>
        <v>03</v>
      </c>
      <c r="K6" s="165" t="s">
        <v>7</v>
      </c>
      <c r="L6" s="166" t="str">
        <f>"04"</f>
        <v>04</v>
      </c>
      <c r="M6" s="167" t="str">
        <f>"05"</f>
        <v>05</v>
      </c>
      <c r="N6" s="168" t="s">
        <v>8</v>
      </c>
    </row>
    <row r="7" spans="1:14" ht="18.75" thickBot="1" x14ac:dyDescent="0.25">
      <c r="A7" s="169" t="s">
        <v>9</v>
      </c>
      <c r="B7" s="170">
        <v>8</v>
      </c>
      <c r="C7" s="157" t="s">
        <v>10</v>
      </c>
      <c r="D7" s="171">
        <v>0.2</v>
      </c>
      <c r="E7" s="171">
        <v>0.3</v>
      </c>
      <c r="F7" s="172">
        <v>0.4</v>
      </c>
      <c r="G7" s="172">
        <v>0.6</v>
      </c>
      <c r="H7" s="173">
        <v>0.8</v>
      </c>
      <c r="I7" s="174">
        <v>1</v>
      </c>
      <c r="J7" s="173">
        <v>1.2</v>
      </c>
      <c r="K7" s="173">
        <v>1.4</v>
      </c>
      <c r="L7" s="173">
        <v>1.6</v>
      </c>
      <c r="M7" s="174">
        <v>2</v>
      </c>
      <c r="N7" s="174">
        <v>2.4</v>
      </c>
    </row>
    <row r="8" spans="1:14" ht="18.75" thickBot="1" x14ac:dyDescent="0.25">
      <c r="A8" s="175" t="str">
        <f>IF(SUM(D9:N9)=B7,"","Summe der unterschiedlichen Düsen")</f>
        <v/>
      </c>
      <c r="B8" s="176" t="str">
        <f>IF(SUM(D9:N9)=B7,"",SUM(D9:N9))</f>
        <v/>
      </c>
      <c r="C8" s="157" t="s">
        <v>11</v>
      </c>
      <c r="D8" s="177" t="str">
        <f t="shared" ref="D8:N8" si="1">IF(POWER(D4,2)&gt;15,"",IF(POWER(D4,2)&lt;1,"",POWER(D4,2)))</f>
        <v/>
      </c>
      <c r="E8" s="177" t="str">
        <f t="shared" si="1"/>
        <v/>
      </c>
      <c r="F8" s="177" t="str">
        <f t="shared" si="1"/>
        <v/>
      </c>
      <c r="G8" s="177">
        <f t="shared" si="1"/>
        <v>10.083333333333334</v>
      </c>
      <c r="H8" s="177">
        <v>6</v>
      </c>
      <c r="I8" s="177">
        <f t="shared" si="1"/>
        <v>3.6300000000000003</v>
      </c>
      <c r="J8" s="177">
        <f t="shared" si="1"/>
        <v>2.5208333333333335</v>
      </c>
      <c r="K8" s="177">
        <f t="shared" si="1"/>
        <v>1.8520408163265309</v>
      </c>
      <c r="L8" s="177">
        <f t="shared" si="1"/>
        <v>1.41796875</v>
      </c>
      <c r="M8" s="177" t="str">
        <f t="shared" si="1"/>
        <v/>
      </c>
      <c r="N8" s="177" t="str">
        <f t="shared" si="1"/>
        <v/>
      </c>
    </row>
    <row r="9" spans="1:14" ht="18.75" thickBot="1" x14ac:dyDescent="0.25">
      <c r="A9" s="178"/>
      <c r="B9" s="179"/>
      <c r="C9" s="157" t="s">
        <v>12</v>
      </c>
      <c r="D9" s="180"/>
      <c r="E9" s="180"/>
      <c r="F9" s="180"/>
      <c r="G9" s="180"/>
      <c r="H9" s="180">
        <v>8</v>
      </c>
      <c r="I9" s="180"/>
      <c r="J9" s="180"/>
      <c r="K9" s="180"/>
      <c r="L9" s="180"/>
      <c r="M9" s="180"/>
      <c r="N9" s="180"/>
    </row>
    <row r="10" spans="1:14" ht="18.75" thickBot="1" x14ac:dyDescent="0.25">
      <c r="A10" s="178"/>
      <c r="B10" s="179"/>
      <c r="C10" s="157"/>
      <c r="D10" s="340">
        <f>G23</f>
        <v>5.671875</v>
      </c>
      <c r="E10" s="341"/>
      <c r="F10" s="341"/>
      <c r="G10" s="341"/>
      <c r="H10" s="341"/>
      <c r="I10" s="341"/>
      <c r="J10" s="341"/>
      <c r="K10" s="341"/>
      <c r="L10" s="341"/>
      <c r="M10" s="341"/>
      <c r="N10" s="342"/>
    </row>
    <row r="11" spans="1:14" ht="18.75" thickBot="1" x14ac:dyDescent="0.25">
      <c r="A11" s="178"/>
      <c r="B11" s="179"/>
      <c r="C11" s="157" t="s">
        <v>10</v>
      </c>
      <c r="D11" s="171" t="str">
        <f t="shared" ref="D11:N11" si="2">IF(D9="","",(D7*SQRT($G$23))/SQRT(3))</f>
        <v/>
      </c>
      <c r="E11" s="171" t="str">
        <f t="shared" si="2"/>
        <v/>
      </c>
      <c r="F11" s="171" t="str">
        <f t="shared" si="2"/>
        <v/>
      </c>
      <c r="G11" s="171" t="str">
        <f t="shared" si="2"/>
        <v/>
      </c>
      <c r="H11" s="171">
        <f t="shared" si="2"/>
        <v>1.1000000000000001</v>
      </c>
      <c r="I11" s="171" t="str">
        <f t="shared" si="2"/>
        <v/>
      </c>
      <c r="J11" s="171" t="str">
        <f t="shared" si="2"/>
        <v/>
      </c>
      <c r="K11" s="171" t="str">
        <f t="shared" si="2"/>
        <v/>
      </c>
      <c r="L11" s="171" t="str">
        <f t="shared" si="2"/>
        <v/>
      </c>
      <c r="M11" s="171" t="str">
        <f t="shared" si="2"/>
        <v/>
      </c>
      <c r="N11" s="171" t="str">
        <f t="shared" si="2"/>
        <v/>
      </c>
    </row>
    <row r="12" spans="1:14" ht="15.75" thickBot="1" x14ac:dyDescent="0.25">
      <c r="H12" s="181"/>
      <c r="I12" s="181"/>
      <c r="J12" s="181"/>
      <c r="K12" s="181"/>
      <c r="L12" s="181"/>
      <c r="M12" s="181"/>
      <c r="N12" s="181"/>
    </row>
    <row r="13" spans="1:14" ht="15" customHeight="1" x14ac:dyDescent="0.2">
      <c r="A13" s="332" t="s">
        <v>13</v>
      </c>
      <c r="B13" s="333" t="s">
        <v>14</v>
      </c>
      <c r="C13" s="333"/>
      <c r="D13" s="333"/>
      <c r="G13" s="343">
        <f>(B7*G20*600)/(B5*B4)</f>
        <v>799.99999999999989</v>
      </c>
      <c r="H13" s="182">
        <f>SUM(D9:N9)</f>
        <v>8</v>
      </c>
      <c r="I13" s="345" t="str">
        <f>IF(H13=B7,"","Bitte die Anzahl der eingegebenen Düsen mit der Gesamtanzahl oben links abgleichen")</f>
        <v/>
      </c>
      <c r="J13" s="345"/>
      <c r="K13" s="345"/>
      <c r="L13" s="345"/>
      <c r="M13" s="345"/>
      <c r="N13" s="345"/>
    </row>
    <row r="14" spans="1:14" ht="15.75" customHeight="1" thickBot="1" x14ac:dyDescent="0.25">
      <c r="A14" s="332"/>
      <c r="B14" s="346" t="s">
        <v>15</v>
      </c>
      <c r="C14" s="346"/>
      <c r="D14" s="346"/>
      <c r="G14" s="344"/>
      <c r="H14" s="183"/>
      <c r="I14" s="345"/>
      <c r="J14" s="345"/>
      <c r="K14" s="345"/>
      <c r="L14" s="345"/>
      <c r="M14" s="345"/>
      <c r="N14" s="345"/>
    </row>
    <row r="15" spans="1:14" x14ac:dyDescent="0.2">
      <c r="H15" s="183"/>
      <c r="I15" s="345"/>
      <c r="J15" s="345"/>
      <c r="K15" s="345"/>
      <c r="L15" s="345"/>
      <c r="M15" s="345"/>
      <c r="N15" s="345"/>
    </row>
    <row r="16" spans="1:14" ht="15.75" thickBot="1" x14ac:dyDescent="0.25">
      <c r="H16" s="183"/>
      <c r="I16" s="183" t="s">
        <v>82</v>
      </c>
      <c r="J16" s="181"/>
      <c r="K16" s="181"/>
      <c r="L16" s="181"/>
      <c r="M16" s="181"/>
      <c r="N16" s="181"/>
    </row>
    <row r="17" spans="1:14" ht="15" customHeight="1" x14ac:dyDescent="0.2">
      <c r="A17" s="332" t="s">
        <v>16</v>
      </c>
      <c r="B17" s="333" t="s">
        <v>17</v>
      </c>
      <c r="C17" s="333"/>
      <c r="D17" s="333"/>
      <c r="E17" s="333"/>
      <c r="G17" s="334">
        <f>(B6*B5*B4)/600</f>
        <v>8.8000000000000007</v>
      </c>
      <c r="H17" s="184"/>
      <c r="I17" s="347">
        <f>(D9*D7)+(E9*E7)+(F9*F7)+(G9*G7)+(H9*H7)+(I9*I7)+(J9*J7)+(K9*K7)+(L9*L7)+(M9*M7)+(N9*N7)</f>
        <v>6.4</v>
      </c>
      <c r="J17" s="185"/>
      <c r="K17" s="181"/>
      <c r="L17" s="181"/>
      <c r="M17" s="181"/>
      <c r="N17" s="181"/>
    </row>
    <row r="18" spans="1:14" ht="15.75" thickBot="1" x14ac:dyDescent="0.25">
      <c r="A18" s="332"/>
      <c r="B18" s="336">
        <v>600</v>
      </c>
      <c r="C18" s="336"/>
      <c r="D18" s="336"/>
      <c r="E18" s="336"/>
      <c r="G18" s="335"/>
      <c r="H18" s="184"/>
      <c r="I18" s="347"/>
      <c r="J18" s="185"/>
      <c r="K18" s="181"/>
      <c r="L18" s="181"/>
      <c r="M18" s="181"/>
      <c r="N18" s="181"/>
    </row>
    <row r="19" spans="1:14" ht="15.75" thickBot="1" x14ac:dyDescent="0.25">
      <c r="H19" s="183"/>
      <c r="I19" s="183"/>
      <c r="J19" s="181"/>
      <c r="K19" s="181"/>
      <c r="L19" s="181"/>
      <c r="M19" s="181"/>
      <c r="N19" s="181"/>
    </row>
    <row r="20" spans="1:14" x14ac:dyDescent="0.2">
      <c r="A20" s="332" t="s">
        <v>18</v>
      </c>
      <c r="B20" s="333" t="s">
        <v>19</v>
      </c>
      <c r="C20" s="333"/>
      <c r="D20" s="333"/>
      <c r="E20" s="333"/>
      <c r="F20" s="179"/>
      <c r="G20" s="334">
        <f>G17/B7</f>
        <v>1.1000000000000001</v>
      </c>
      <c r="H20" s="184"/>
      <c r="I20" s="183"/>
      <c r="J20" s="181"/>
      <c r="K20" s="181"/>
      <c r="L20" s="181"/>
      <c r="M20" s="181"/>
      <c r="N20" s="181"/>
    </row>
    <row r="21" spans="1:14" ht="15.75" thickBot="1" x14ac:dyDescent="0.25">
      <c r="A21" s="332"/>
      <c r="B21" s="336" t="s">
        <v>20</v>
      </c>
      <c r="C21" s="336"/>
      <c r="D21" s="336"/>
      <c r="E21" s="336"/>
      <c r="F21" s="179"/>
      <c r="G21" s="335"/>
      <c r="H21" s="184"/>
      <c r="I21" s="183"/>
      <c r="J21" s="181"/>
      <c r="K21" s="181"/>
      <c r="L21" s="181"/>
      <c r="M21" s="181"/>
      <c r="N21" s="181"/>
    </row>
    <row r="22" spans="1:14" ht="15.75" thickBot="1" x14ac:dyDescent="0.25">
      <c r="A22" s="186"/>
      <c r="B22" s="179"/>
      <c r="C22" s="179"/>
      <c r="D22" s="179"/>
      <c r="E22" s="179"/>
      <c r="F22" s="179"/>
      <c r="G22" s="187"/>
      <c r="H22" s="184"/>
      <c r="I22" s="183">
        <f>((SQRT(3)*G17)/I17)</f>
        <v>2.3815698604072062</v>
      </c>
      <c r="J22" s="181"/>
      <c r="K22" s="181"/>
      <c r="L22" s="181"/>
      <c r="M22" s="181"/>
      <c r="N22" s="181"/>
    </row>
    <row r="23" spans="1:14" x14ac:dyDescent="0.2">
      <c r="A23" s="186"/>
      <c r="B23" s="179"/>
      <c r="C23" s="351" t="s">
        <v>21</v>
      </c>
      <c r="D23" s="351"/>
      <c r="E23" s="351"/>
      <c r="F23" s="179"/>
      <c r="G23" s="352">
        <f>POWER(I22,2)</f>
        <v>5.671875</v>
      </c>
      <c r="H23" s="188"/>
      <c r="I23" s="183"/>
      <c r="J23" s="181"/>
      <c r="K23" s="181"/>
      <c r="L23" s="181"/>
      <c r="M23" s="181"/>
      <c r="N23" s="181"/>
    </row>
    <row r="24" spans="1:14" ht="15.75" thickBot="1" x14ac:dyDescent="0.25">
      <c r="A24" s="186"/>
      <c r="B24" s="179"/>
      <c r="C24" s="351"/>
      <c r="D24" s="351"/>
      <c r="E24" s="351"/>
      <c r="F24" s="179"/>
      <c r="G24" s="353"/>
      <c r="H24" s="188"/>
      <c r="I24" s="181"/>
      <c r="J24" s="181"/>
      <c r="K24" s="181"/>
      <c r="L24" s="181"/>
      <c r="M24" s="181"/>
      <c r="N24" s="181"/>
    </row>
    <row r="25" spans="1:14" x14ac:dyDescent="0.2">
      <c r="H25" s="181"/>
      <c r="I25" s="181"/>
      <c r="J25" s="181"/>
      <c r="K25" s="181"/>
      <c r="L25" s="181"/>
      <c r="M25" s="181"/>
      <c r="N25" s="181"/>
    </row>
    <row r="26" spans="1:14" ht="15.75" thickBot="1" x14ac:dyDescent="0.25">
      <c r="H26" s="181"/>
      <c r="I26" s="181"/>
      <c r="J26" s="181"/>
      <c r="K26" s="181"/>
      <c r="L26" s="181"/>
      <c r="M26" s="181"/>
      <c r="N26" s="181"/>
    </row>
    <row r="27" spans="1:14" ht="15.75" thickBot="1" x14ac:dyDescent="0.25">
      <c r="A27" s="169" t="s">
        <v>22</v>
      </c>
      <c r="B27" s="189">
        <v>50</v>
      </c>
      <c r="H27" s="181"/>
      <c r="I27" s="181"/>
      <c r="J27" s="181"/>
      <c r="K27" s="181"/>
      <c r="L27" s="181"/>
      <c r="M27" s="181"/>
      <c r="N27" s="181"/>
    </row>
    <row r="28" spans="1:14" ht="15.75" thickBot="1" x14ac:dyDescent="0.25">
      <c r="A28" s="169" t="s">
        <v>23</v>
      </c>
      <c r="B28" s="190">
        <v>30</v>
      </c>
      <c r="H28" s="181"/>
      <c r="I28" s="181"/>
      <c r="J28" s="181"/>
      <c r="K28" s="181"/>
      <c r="L28" s="181"/>
      <c r="M28" s="181"/>
      <c r="N28" s="181"/>
    </row>
    <row r="29" spans="1:14" ht="15.75" thickBot="1" x14ac:dyDescent="0.25">
      <c r="H29" s="181"/>
      <c r="I29" s="181"/>
      <c r="J29" s="181"/>
      <c r="K29" s="181"/>
      <c r="L29" s="181"/>
      <c r="M29" s="181"/>
      <c r="N29" s="181"/>
    </row>
    <row r="30" spans="1:14" x14ac:dyDescent="0.2">
      <c r="A30" s="332" t="s">
        <v>24</v>
      </c>
      <c r="B30" s="333" t="s">
        <v>25</v>
      </c>
      <c r="C30" s="333"/>
      <c r="G30" s="354">
        <f>3.6*B27/B28</f>
        <v>6</v>
      </c>
      <c r="H30" s="181"/>
      <c r="I30" s="181"/>
      <c r="J30" s="181"/>
      <c r="K30" s="181"/>
      <c r="L30" s="181"/>
      <c r="M30" s="181"/>
      <c r="N30" s="181"/>
    </row>
    <row r="31" spans="1:14" ht="15.75" thickBot="1" x14ac:dyDescent="0.25">
      <c r="A31" s="332"/>
      <c r="B31" s="346" t="s">
        <v>23</v>
      </c>
      <c r="C31" s="346"/>
      <c r="G31" s="355"/>
      <c r="H31" s="181"/>
      <c r="I31" s="181"/>
      <c r="J31" s="181"/>
      <c r="K31" s="181"/>
      <c r="L31" s="181"/>
      <c r="M31" s="181"/>
      <c r="N31" s="181"/>
    </row>
    <row r="32" spans="1:14" ht="15.75" thickBot="1" x14ac:dyDescent="0.25">
      <c r="H32" s="181"/>
      <c r="I32" s="181"/>
      <c r="J32" s="181"/>
      <c r="K32" s="181"/>
      <c r="L32" s="181"/>
      <c r="M32" s="181"/>
      <c r="N32" s="181"/>
    </row>
    <row r="33" spans="1:14" x14ac:dyDescent="0.2">
      <c r="A33" s="332" t="s">
        <v>26</v>
      </c>
      <c r="B33" s="348" t="s">
        <v>27</v>
      </c>
      <c r="C33" s="348"/>
      <c r="G33" s="349">
        <f>G30*(1000/60)</f>
        <v>100</v>
      </c>
      <c r="H33" s="181"/>
      <c r="I33" s="181"/>
      <c r="J33" s="181"/>
      <c r="K33" s="181"/>
      <c r="L33" s="181"/>
      <c r="M33" s="181"/>
      <c r="N33" s="181"/>
    </row>
    <row r="34" spans="1:14" ht="15.75" thickBot="1" x14ac:dyDescent="0.25">
      <c r="A34" s="332"/>
      <c r="B34" s="348"/>
      <c r="C34" s="348"/>
      <c r="G34" s="350"/>
      <c r="H34" s="181"/>
      <c r="I34" s="181"/>
      <c r="J34" s="181"/>
      <c r="K34" s="181"/>
      <c r="L34" s="181"/>
      <c r="M34" s="181"/>
      <c r="N34" s="181"/>
    </row>
  </sheetData>
  <sheetProtection algorithmName="SHA-512" hashValue="FWEi/L8dFCrhrWRb91QFgRa7aHoz0W+Bux2MbSrz9CzzqAZrQqARnKdYeZeqisTqUN+zA0IDSpl6KVmrA1FqPw==" saltValue="xFGmtg+mlY2r6xJYRAgpcw==" spinCount="100000" sheet="1" selectLockedCells="1"/>
  <mergeCells count="25">
    <mergeCell ref="A33:A34"/>
    <mergeCell ref="B33:C34"/>
    <mergeCell ref="G33:G34"/>
    <mergeCell ref="C23:E24"/>
    <mergeCell ref="G23:G24"/>
    <mergeCell ref="A30:A31"/>
    <mergeCell ref="B30:C30"/>
    <mergeCell ref="G30:G31"/>
    <mergeCell ref="B31:C31"/>
    <mergeCell ref="A20:A21"/>
    <mergeCell ref="B20:E20"/>
    <mergeCell ref="G20:G21"/>
    <mergeCell ref="B21:E21"/>
    <mergeCell ref="D5:N5"/>
    <mergeCell ref="D10:N10"/>
    <mergeCell ref="A13:A14"/>
    <mergeCell ref="B13:D13"/>
    <mergeCell ref="G13:G14"/>
    <mergeCell ref="I13:N15"/>
    <mergeCell ref="B14:D14"/>
    <mergeCell ref="A17:A18"/>
    <mergeCell ref="B17:E17"/>
    <mergeCell ref="G17:G18"/>
    <mergeCell ref="I17:I18"/>
    <mergeCell ref="B18:E1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zoomScale="80" zoomScaleNormal="80" workbookViewId="0">
      <selection activeCell="B3" sqref="B3:D3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12.6640625" style="63" bestFit="1" customWidth="1"/>
    <col min="4" max="4" width="9.77734375" style="63" bestFit="1" customWidth="1"/>
    <col min="5" max="5" width="8.88671875" style="63"/>
    <col min="6" max="6" width="14.5546875" style="63" bestFit="1" customWidth="1"/>
    <col min="7" max="7" width="20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1" t="s">
        <v>70</v>
      </c>
      <c r="B3" s="415">
        <v>1.2</v>
      </c>
      <c r="C3" s="415"/>
      <c r="D3" s="416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2</v>
      </c>
      <c r="D5" s="104">
        <v>3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4</v>
      </c>
      <c r="B6" s="106">
        <f>(((SQRT($B$5)*$B$3)/SQRT(3))*60000)/($A$6*$B$16)</f>
        <v>346.41016151377545</v>
      </c>
      <c r="C6" s="106">
        <f>(((SQRT($C$5)*$B$3)/SQRT(3))*60000)/($A$6*$B$16)</f>
        <v>489.8979485566357</v>
      </c>
      <c r="D6" s="106">
        <f>(((SQRT($D$5)*$B$3)/SQRT(3))*60000)/($A$6*$B$16)</f>
        <v>600</v>
      </c>
      <c r="F6" s="107" t="str">
        <f>_1437b</f>
        <v>Lechler</v>
      </c>
      <c r="G6" s="107" t="str">
        <f>_1437c</f>
        <v>ES 90 03E MS</v>
      </c>
      <c r="H6" s="108">
        <f>_1437h</f>
        <v>1.5</v>
      </c>
      <c r="I6" s="109" t="str">
        <f>IF(H6="","","bis")</f>
        <v>bis</v>
      </c>
      <c r="J6" s="112">
        <f>_1437i</f>
        <v>3</v>
      </c>
      <c r="K6" s="111">
        <f>(((SQRT($H6)*$B$3)/SQRT(3))*60000)/($B$12*$B$16)</f>
        <v>5.6568542494923797</v>
      </c>
      <c r="L6" s="109" t="str">
        <f>IF(K6="","","bis")</f>
        <v>bis</v>
      </c>
      <c r="M6" s="112">
        <f>(((SQRT($J6)*$B$3)/SQRT(3))*60000)/($B$12*$B$16)</f>
        <v>8</v>
      </c>
      <c r="N6" s="110">
        <f>_1437j</f>
        <v>1.5</v>
      </c>
      <c r="O6" s="109" t="str">
        <f>IF(N6="","","bis")</f>
        <v>bis</v>
      </c>
      <c r="P6" s="110">
        <f>_1437k</f>
        <v>3</v>
      </c>
      <c r="Q6" s="111">
        <f>(((SQRT($N6)*$B$3)/SQRT(3))*60000)/($B$12*$B$16)</f>
        <v>5.6568542494923797</v>
      </c>
      <c r="R6" s="109" t="str">
        <f>IF(Q6="","","bis")</f>
        <v>bis</v>
      </c>
      <c r="S6" s="112">
        <f>(((SQRT($P6)*$B$3)/SQRT(3))*60000)/($B$12*$B$16)</f>
        <v>8</v>
      </c>
      <c r="T6" s="110">
        <f>_1437l</f>
        <v>1.5</v>
      </c>
      <c r="U6" s="109" t="str">
        <f>IF(T6="","","bis")</f>
        <v>bis</v>
      </c>
      <c r="V6" s="110">
        <f>_1437m</f>
        <v>3</v>
      </c>
      <c r="W6" s="111">
        <f>(((SQRT($T6)*$B$3)/SQRT(3))*60000)/($B$12*$B$16)</f>
        <v>5.6568542494923797</v>
      </c>
      <c r="X6" s="109" t="str">
        <f>IF(W6="","","bis")</f>
        <v>bis</v>
      </c>
      <c r="Y6" s="112">
        <f>(((SQRT($V6)*$B$3)/SQRT(3))*60000)/($B$12*$B$16)</f>
        <v>8</v>
      </c>
      <c r="Z6" s="113">
        <f>_1437f</f>
        <v>1.5</v>
      </c>
      <c r="AA6" s="109" t="str">
        <f>IF(Z6="","","bis")</f>
        <v>bis</v>
      </c>
      <c r="AB6" s="114">
        <f>_1437g</f>
        <v>3</v>
      </c>
    </row>
    <row r="7" spans="1:28" ht="18.75" thickBot="1" x14ac:dyDescent="0.3">
      <c r="A7" s="135">
        <v>5</v>
      </c>
      <c r="B7" s="106">
        <f>(((SQRT($B$5)*$B$3)/SQRT(3))*60000)/($A$7*$B$16)</f>
        <v>277.12812921102039</v>
      </c>
      <c r="C7" s="106">
        <f>(((SQRT($C$5)*$B$3)/SQRT(3))*60000)/($A$7*$B$16)</f>
        <v>391.91835884530855</v>
      </c>
      <c r="D7" s="106">
        <f>(((SQRT($D$5)*$B$3)/SQRT(3))*60000)/($A$7*$B$16)</f>
        <v>480</v>
      </c>
      <c r="F7" s="107" t="str">
        <f>_2086b</f>
        <v>Lechler</v>
      </c>
      <c r="G7" s="107" t="str">
        <f>_2086c</f>
        <v>FT 90 03</v>
      </c>
      <c r="H7" s="108">
        <f>_2086h</f>
        <v>1.5</v>
      </c>
      <c r="I7" s="109" t="str">
        <f>IF(H7="","","bis")</f>
        <v>bis</v>
      </c>
      <c r="J7" s="112">
        <f>_2086i</f>
        <v>4</v>
      </c>
      <c r="K7" s="111">
        <f>(((SQRT($H7)*$B$3)/SQRT(3))*60000)/($B$12*$B$16)</f>
        <v>5.6568542494923797</v>
      </c>
      <c r="L7" s="109" t="str">
        <f>IF(K7="","","bis")</f>
        <v>bis</v>
      </c>
      <c r="M7" s="112">
        <f>(((SQRT($J7)*$B$3)/SQRT(3))*60000)/($B$12*$B$16)</f>
        <v>9.2376043070340117</v>
      </c>
      <c r="N7" s="110">
        <f>_2086j</f>
        <v>1.5</v>
      </c>
      <c r="O7" s="109" t="str">
        <f>IF(N7="","","bis")</f>
        <v>bis</v>
      </c>
      <c r="P7" s="110">
        <f>_2086k</f>
        <v>4</v>
      </c>
      <c r="Q7" s="111">
        <f>(((SQRT($N7)*$B$3)/SQRT(3))*60000)/($B$12*$B$16)</f>
        <v>5.6568542494923797</v>
      </c>
      <c r="R7" s="109" t="str">
        <f>IF(Q7="","","bis")</f>
        <v>bis</v>
      </c>
      <c r="S7" s="112">
        <f>(((SQRT($P7)*$B$3)/SQRT(3))*60000)/($B$12*$B$16)</f>
        <v>9.2376043070340117</v>
      </c>
      <c r="T7" s="110">
        <f>_2086l</f>
        <v>1.5</v>
      </c>
      <c r="U7" s="109" t="str">
        <f>IF(T7="","","bis")</f>
        <v>bis</v>
      </c>
      <c r="V7" s="110">
        <f>_2086m</f>
        <v>4</v>
      </c>
      <c r="W7" s="111">
        <f>(((SQRT($T7)*$B$3)/SQRT(3))*60000)/($B$12*$B$16)</f>
        <v>5.6568542494923797</v>
      </c>
      <c r="X7" s="109" t="str">
        <f>IF(W7="","","bis")</f>
        <v>bis</v>
      </c>
      <c r="Y7" s="112">
        <f>(((SQRT($V7)*$B$3)/SQRT(3))*60000)/($B$12*$B$16)</f>
        <v>9.2376043070340117</v>
      </c>
      <c r="Z7" s="113">
        <f>_2086f</f>
        <v>1.5</v>
      </c>
      <c r="AA7" s="109" t="str">
        <f>IF(Z7="","","bis")</f>
        <v>bis</v>
      </c>
      <c r="AB7" s="114">
        <f>_2086g</f>
        <v>4</v>
      </c>
    </row>
    <row r="8" spans="1:28" ht="18.75" thickBot="1" x14ac:dyDescent="0.3">
      <c r="A8" s="135">
        <v>6</v>
      </c>
      <c r="B8" s="106">
        <f>(((SQRT($B$5)*$B$3)/SQRT(3))*60000)/($A$8*$B$16)</f>
        <v>230.9401076758503</v>
      </c>
      <c r="C8" s="106">
        <f>(((SQRT($C$5)*$B$3)/SQRT(3))*60000)/($A$8*$B$16)</f>
        <v>326.59863237109045</v>
      </c>
      <c r="D8" s="106">
        <f>(((SQRT($D$5)*$B$3)/SQRT(3))*60000)/($A$8*$B$16)</f>
        <v>400</v>
      </c>
      <c r="F8" s="107"/>
      <c r="G8" s="107"/>
      <c r="H8" s="108"/>
      <c r="I8" s="109" t="str">
        <f>IF(H8="","","bis")</f>
        <v/>
      </c>
      <c r="J8" s="112"/>
      <c r="K8" s="111">
        <f>(((SQRT($H8)*$B$3)/SQRT(3))*60000)/($B$12*$B$16)</f>
        <v>0</v>
      </c>
      <c r="L8" s="109" t="str">
        <f>IF(K8="","","bis")</f>
        <v>bis</v>
      </c>
      <c r="M8" s="112">
        <f>(((SQRT($J8)*$B$3)/SQRT(3))*60000)/($B$12*$B$16)</f>
        <v>0</v>
      </c>
      <c r="N8" s="111"/>
      <c r="O8" s="109" t="str">
        <f>IF(N8="","","bis")</f>
        <v/>
      </c>
      <c r="P8" s="112"/>
      <c r="Q8" s="111">
        <f>(((SQRT($N8)*$B$3)/SQRT(3))*60000)/($B$12*$B$16)</f>
        <v>0</v>
      </c>
      <c r="R8" s="109" t="str">
        <f>IF(Q8="","","bis")</f>
        <v>bis</v>
      </c>
      <c r="S8" s="112">
        <f>(((SQRT($P8)*$B$3)/SQRT(3))*60000)/($B$12*$B$16)</f>
        <v>0</v>
      </c>
      <c r="T8" s="111"/>
      <c r="U8" s="109" t="str">
        <f>IF(T8="","","bis")</f>
        <v/>
      </c>
      <c r="V8" s="112"/>
      <c r="W8" s="111">
        <f>(((SQRT($T8)*$B$3)/SQRT(3))*60000)/($B$12*$B$16)</f>
        <v>0</v>
      </c>
      <c r="X8" s="109" t="str">
        <f>IF(W8="","","bis")</f>
        <v>bis</v>
      </c>
      <c r="Y8" s="112">
        <f>(((SQRT($V8)*$B$3)/SQRT(3))*60000)/($B$12*$B$16)</f>
        <v>0</v>
      </c>
      <c r="Z8" s="113"/>
      <c r="AA8" s="109" t="str">
        <f>IF(Z8="","","bis")</f>
        <v/>
      </c>
      <c r="AB8" s="114"/>
    </row>
    <row r="9" spans="1:28" ht="18.75" thickBot="1" x14ac:dyDescent="0.3">
      <c r="A9" s="135">
        <v>7</v>
      </c>
      <c r="B9" s="106">
        <f>(((SQRT($B$5)*$B$3)/SQRT(3))*60000)/($A$9*$B$16)</f>
        <v>197.94866372215742</v>
      </c>
      <c r="C9" s="106">
        <f>(((SQRT($C$5)*$B$3)/SQRT(3))*60000)/($A$9*$B$16)</f>
        <v>279.94168488950612</v>
      </c>
      <c r="D9" s="106">
        <f>(((SQRT($D$5)*$B$3)/SQRT(3))*60000)/($A$9*$B$16)</f>
        <v>342.85714285714283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(((SQRT($H9)*$B$3)/SQRT(3))*60000)/($B$12*$B$16)</f>
        <v>0</v>
      </c>
      <c r="L9" s="109" t="str">
        <f>IF(K9="","","bis")</f>
        <v>bis</v>
      </c>
      <c r="M9" s="112">
        <f>(((SQRT($J9)*$B$3)/SQRT(3))*60000)/($B$12*$B$16)</f>
        <v>0</v>
      </c>
      <c r="N9" s="111"/>
      <c r="O9" s="109" t="str">
        <f>IF(N9="","","bis")</f>
        <v/>
      </c>
      <c r="P9" s="112"/>
      <c r="Q9" s="111">
        <f>(((SQRT($N9)*$B$3)/SQRT(3))*60000)/($B$12*$B$16)</f>
        <v>0</v>
      </c>
      <c r="R9" s="109" t="str">
        <f>IF(Q9="","","bis")</f>
        <v>bis</v>
      </c>
      <c r="S9" s="112">
        <f>(((SQRT($P9)*$B$3)/SQRT(3))*60000)/($B$12*$B$16)</f>
        <v>0</v>
      </c>
      <c r="T9" s="111"/>
      <c r="U9" s="109" t="str">
        <f>IF(T9="","","bis")</f>
        <v/>
      </c>
      <c r="V9" s="110"/>
      <c r="W9" s="111">
        <f>(((SQRT($T9)*$B$3)/SQRT(3))*60000)/($B$12*$B$16)</f>
        <v>0</v>
      </c>
      <c r="X9" s="109" t="str">
        <f>IF(W9="","","bis")</f>
        <v>bis</v>
      </c>
      <c r="Y9" s="112">
        <f>(((SQRT($V9)*$B$3)/SQRT(3))*60000)/($B$12*$B$16)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8</v>
      </c>
      <c r="B10" s="115">
        <f>(((SQRT($B$5)*$B$3)/SQRT(3))*60000)/($A$10*$B$16)</f>
        <v>173.20508075688772</v>
      </c>
      <c r="C10" s="115">
        <f>(((SQRT($C$5)*$B$3)/SQRT(3))*60000)/($A$10*$B$16)</f>
        <v>244.94897427831785</v>
      </c>
      <c r="D10" s="115">
        <f>(((SQRT($D$5)*$B$3)/SQRT(3))*60000)/($A$10*$B$16)</f>
        <v>300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(((SQRT($H10)*$B$3)/SQRT(3))*60000)/($B$12*$B$16)</f>
        <v>0</v>
      </c>
      <c r="L10" s="109" t="str">
        <f>IF(K10="","","bis")</f>
        <v>bis</v>
      </c>
      <c r="M10" s="112">
        <f>(((SQRT($J10)*$B$3)/SQRT(3))*60000)/($B$12*$B$16)</f>
        <v>0</v>
      </c>
      <c r="N10" s="111"/>
      <c r="O10" s="109" t="str">
        <f>IF(N10="","","bis")</f>
        <v/>
      </c>
      <c r="P10" s="112"/>
      <c r="Q10" s="111">
        <f>(((SQRT($N10)*$B$3)/SQRT(3))*60000)/($B$12*$B$16)</f>
        <v>0</v>
      </c>
      <c r="R10" s="109" t="str">
        <f>IF(Q10="","","bis")</f>
        <v>bis</v>
      </c>
      <c r="S10" s="112">
        <f>(((SQRT($P10)*$B$3)/SQRT(3))*60000)/($B$12*$B$16)</f>
        <v>0</v>
      </c>
      <c r="T10" s="111"/>
      <c r="U10" s="109" t="str">
        <f>IF(T10="","","bis")</f>
        <v/>
      </c>
      <c r="V10" s="112"/>
      <c r="W10" s="111">
        <f>(((SQRT($T10)*$B$3)/SQRT(3))*60000)/($B$12*$B$16)</f>
        <v>0</v>
      </c>
      <c r="X10" s="109" t="str">
        <f>IF(W10="","","bis")</f>
        <v>bis</v>
      </c>
      <c r="Y10" s="112">
        <f>(((SQRT($V10)*$B$3)/SQRT(3))*60000)/($B$12*$B$16)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300</v>
      </c>
      <c r="C12" s="66"/>
      <c r="D12" s="417"/>
      <c r="E12" s="417"/>
      <c r="F12" s="123"/>
      <c r="G12" s="119"/>
    </row>
    <row r="13" spans="1:28" ht="18.75" thickBot="1" x14ac:dyDescent="0.3">
      <c r="A13" s="117" t="s">
        <v>61</v>
      </c>
      <c r="B13" s="120">
        <f>POWER(((SQRT(3)*$C$13)/$B$3),2)</f>
        <v>1.1718750000000002</v>
      </c>
      <c r="C13" s="121">
        <f>(B12*B14*B16)/60000</f>
        <v>0.75</v>
      </c>
      <c r="D13" s="418"/>
      <c r="E13" s="418"/>
      <c r="F13" s="123"/>
      <c r="G13" s="119"/>
    </row>
    <row r="14" spans="1:28" ht="18.75" thickBot="1" x14ac:dyDescent="0.3">
      <c r="A14" s="117" t="s">
        <v>62</v>
      </c>
      <c r="B14" s="78">
        <v>5</v>
      </c>
      <c r="D14" s="140"/>
      <c r="E14" s="119"/>
      <c r="F14" s="137"/>
      <c r="G14" s="119"/>
    </row>
    <row r="15" spans="1:28" ht="18.75" thickBot="1" x14ac:dyDescent="0.3">
      <c r="A15" s="117"/>
      <c r="B15" s="123"/>
      <c r="C15" s="124"/>
      <c r="D15" s="417"/>
      <c r="E15" s="417"/>
      <c r="F15" s="138"/>
      <c r="G15" s="138"/>
    </row>
    <row r="16" spans="1:28" ht="18.75" thickBot="1" x14ac:dyDescent="0.3">
      <c r="A16" s="125" t="s">
        <v>63</v>
      </c>
      <c r="B16" s="126">
        <v>30</v>
      </c>
    </row>
    <row r="17" spans="1:3" ht="18.75" thickBot="1" x14ac:dyDescent="0.3">
      <c r="A17" s="122" t="s">
        <v>64</v>
      </c>
      <c r="B17" s="126">
        <v>120</v>
      </c>
    </row>
    <row r="18" spans="1:3" ht="18.75" thickBot="1" x14ac:dyDescent="0.3">
      <c r="A18" s="127" t="s">
        <v>65</v>
      </c>
      <c r="B18" s="128">
        <f>(B16*100)/B17</f>
        <v>25</v>
      </c>
    </row>
    <row r="19" spans="1:3" ht="18.75" thickBot="1" x14ac:dyDescent="0.3">
      <c r="A19" s="125" t="s">
        <v>66</v>
      </c>
      <c r="B19" s="129">
        <v>3</v>
      </c>
      <c r="C19" s="130">
        <f>(B16/B17)*B19</f>
        <v>0.75</v>
      </c>
    </row>
    <row r="20" spans="1:3" ht="18.75" thickBot="1" x14ac:dyDescent="0.3">
      <c r="A20" s="63" t="s">
        <v>67</v>
      </c>
      <c r="B20" s="131">
        <v>3</v>
      </c>
      <c r="C20" s="132">
        <f>(B20*C19)</f>
        <v>2.25</v>
      </c>
    </row>
    <row r="21" spans="1:3" ht="18.75" thickBot="1" x14ac:dyDescent="0.3">
      <c r="A21" s="63" t="s">
        <v>80</v>
      </c>
      <c r="C21" s="151">
        <f>(B12*C19)/1</f>
        <v>225</v>
      </c>
    </row>
  </sheetData>
  <sheetProtection algorithmName="SHA-512" hashValue="Fdh0V9jginf/bhMXxlh4Dj1z2haOYku7/5UjZbzpxvnqkW13SUA/rcSeAL0p9FkSdoilzAWo2gXywH1++mCl2w==" saltValue="ZmfKvrwQrnX54sK01/t4CA==" spinCount="100000" sheet="1" objects="1" scenarios="1"/>
  <mergeCells count="14">
    <mergeCell ref="Z4:AB5"/>
    <mergeCell ref="H5:J5"/>
    <mergeCell ref="K5:M5"/>
    <mergeCell ref="N5:P5"/>
    <mergeCell ref="Q5:S5"/>
    <mergeCell ref="T5:V5"/>
    <mergeCell ref="W5:Y5"/>
    <mergeCell ref="N4:S4"/>
    <mergeCell ref="T4:Y4"/>
    <mergeCell ref="D12:E12"/>
    <mergeCell ref="D13:E13"/>
    <mergeCell ref="D15:E15"/>
    <mergeCell ref="B3:D3"/>
    <mergeCell ref="H4:M4"/>
  </mergeCells>
  <conditionalFormatting sqref="B6">
    <cfRule type="cellIs" dxfId="149" priority="15" operator="greaterThan">
      <formula>$B$12</formula>
    </cfRule>
  </conditionalFormatting>
  <conditionalFormatting sqref="C6">
    <cfRule type="cellIs" dxfId="148" priority="14" operator="greaterThan">
      <formula>$B$12</formula>
    </cfRule>
  </conditionalFormatting>
  <conditionalFormatting sqref="D6">
    <cfRule type="cellIs" dxfId="147" priority="13" operator="greaterThan">
      <formula>$B$12</formula>
    </cfRule>
  </conditionalFormatting>
  <conditionalFormatting sqref="B7">
    <cfRule type="cellIs" dxfId="146" priority="12" operator="greaterThan">
      <formula>$B$12</formula>
    </cfRule>
  </conditionalFormatting>
  <conditionalFormatting sqref="C7">
    <cfRule type="cellIs" dxfId="145" priority="11" operator="greaterThan">
      <formula>$B$12</formula>
    </cfRule>
  </conditionalFormatting>
  <conditionalFormatting sqref="D7">
    <cfRule type="cellIs" dxfId="144" priority="10" operator="greaterThan">
      <formula>$B$12</formula>
    </cfRule>
  </conditionalFormatting>
  <conditionalFormatting sqref="B8">
    <cfRule type="cellIs" dxfId="143" priority="9" operator="greaterThan">
      <formula>$B$12</formula>
    </cfRule>
  </conditionalFormatting>
  <conditionalFormatting sqref="C8">
    <cfRule type="cellIs" dxfId="142" priority="8" operator="greaterThan">
      <formula>$B$12</formula>
    </cfRule>
  </conditionalFormatting>
  <conditionalFormatting sqref="D8">
    <cfRule type="cellIs" dxfId="141" priority="7" operator="greaterThan">
      <formula>$B$12</formula>
    </cfRule>
  </conditionalFormatting>
  <conditionalFormatting sqref="B9">
    <cfRule type="cellIs" dxfId="140" priority="6" operator="greaterThan">
      <formula>$B$12</formula>
    </cfRule>
  </conditionalFormatting>
  <conditionalFormatting sqref="B10">
    <cfRule type="cellIs" dxfId="139" priority="5" operator="greaterThan">
      <formula>$B$12</formula>
    </cfRule>
  </conditionalFormatting>
  <conditionalFormatting sqref="C9">
    <cfRule type="cellIs" dxfId="138" priority="4" operator="greaterThan">
      <formula>$B$12</formula>
    </cfRule>
  </conditionalFormatting>
  <conditionalFormatting sqref="D9">
    <cfRule type="cellIs" dxfId="137" priority="3" operator="greaterThan">
      <formula>$B$12</formula>
    </cfRule>
  </conditionalFormatting>
  <conditionalFormatting sqref="C10">
    <cfRule type="cellIs" dxfId="136" priority="2" operator="greaterThan">
      <formula>$B$12</formula>
    </cfRule>
  </conditionalFormatting>
  <conditionalFormatting sqref="D10">
    <cfRule type="cellIs" dxfId="135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12.6640625" style="63" bestFit="1" customWidth="1"/>
    <col min="4" max="4" width="9.77734375" style="63" bestFit="1" customWidth="1"/>
    <col min="5" max="5" width="8.88671875" style="63"/>
    <col min="6" max="6" width="14.5546875" style="63" bestFit="1" customWidth="1"/>
    <col min="7" max="7" width="20" style="63" bestFit="1" customWidth="1"/>
    <col min="8" max="8" width="20" style="63" customWidth="1"/>
    <col min="9" max="9" width="9.77734375" style="63" bestFit="1" customWidth="1"/>
    <col min="10" max="15" width="5.21875" style="63" customWidth="1"/>
    <col min="16" max="21" width="5.21875" style="100" customWidth="1"/>
    <col min="22" max="29" width="5.21875" style="63" customWidth="1"/>
    <col min="30" max="16384" width="8.88671875" style="63"/>
  </cols>
  <sheetData>
    <row r="1" spans="1:21" x14ac:dyDescent="0.25">
      <c r="A1" s="99"/>
      <c r="I1" s="100"/>
      <c r="P1" s="63"/>
      <c r="Q1" s="63"/>
      <c r="R1" s="63"/>
      <c r="S1" s="63"/>
      <c r="T1" s="63"/>
      <c r="U1" s="63"/>
    </row>
    <row r="2" spans="1:21" ht="18.75" thickBot="1" x14ac:dyDescent="0.3">
      <c r="I2" s="100"/>
      <c r="P2" s="63"/>
      <c r="Q2" s="63"/>
      <c r="R2" s="63"/>
      <c r="S2" s="63"/>
      <c r="T2" s="63"/>
      <c r="U2" s="63"/>
    </row>
    <row r="3" spans="1:21" ht="18.75" thickBot="1" x14ac:dyDescent="0.3">
      <c r="A3" s="142" t="s">
        <v>71</v>
      </c>
      <c r="B3" s="403">
        <v>1.6</v>
      </c>
      <c r="C3" s="403"/>
      <c r="D3" s="404"/>
      <c r="I3" s="100"/>
      <c r="P3" s="63"/>
      <c r="Q3" s="63"/>
      <c r="R3" s="63"/>
      <c r="S3" s="63"/>
      <c r="T3" s="63"/>
      <c r="U3" s="63"/>
    </row>
    <row r="4" spans="1:21" ht="18.75" thickBot="1" x14ac:dyDescent="0.3">
      <c r="I4" s="207">
        <v>90</v>
      </c>
      <c r="J4" s="208"/>
      <c r="K4" s="208"/>
      <c r="L4" s="208"/>
      <c r="M4" s="208"/>
      <c r="N4" s="387"/>
      <c r="O4" s="388" t="s">
        <v>53</v>
      </c>
      <c r="P4" s="389"/>
      <c r="Q4" s="390"/>
      <c r="R4" s="63"/>
      <c r="S4" s="63"/>
      <c r="T4" s="63"/>
      <c r="U4" s="63"/>
    </row>
    <row r="5" spans="1:21" ht="18.75" thickBot="1" x14ac:dyDescent="0.3">
      <c r="A5" s="102" t="s">
        <v>54</v>
      </c>
      <c r="B5" s="103">
        <v>1</v>
      </c>
      <c r="C5" s="104">
        <v>2</v>
      </c>
      <c r="D5" s="104">
        <v>3</v>
      </c>
      <c r="F5" s="102" t="s">
        <v>55</v>
      </c>
      <c r="G5" s="203" t="s">
        <v>128</v>
      </c>
      <c r="H5" s="142" t="s">
        <v>4</v>
      </c>
      <c r="I5" s="207" t="s">
        <v>57</v>
      </c>
      <c r="J5" s="208"/>
      <c r="K5" s="387"/>
      <c r="L5" s="398" t="s">
        <v>58</v>
      </c>
      <c r="M5" s="399"/>
      <c r="N5" s="400"/>
      <c r="O5" s="391"/>
      <c r="P5" s="392"/>
      <c r="Q5" s="393"/>
      <c r="R5" s="63"/>
      <c r="S5" s="63"/>
      <c r="T5" s="63"/>
      <c r="U5" s="63"/>
    </row>
    <row r="6" spans="1:21" ht="18.75" thickBot="1" x14ac:dyDescent="0.3">
      <c r="A6" s="134">
        <v>4</v>
      </c>
      <c r="B6" s="106">
        <f>(((SQRT($B$5)*$B$3)/SQRT(3))*60000)/($A$6*$B$16)</f>
        <v>461.88021535170066</v>
      </c>
      <c r="C6" s="106">
        <f>(((SQRT($C$5)*$B$3)/SQRT(3))*60000)/($A$6*$B$16)</f>
        <v>653.19726474218101</v>
      </c>
      <c r="D6" s="106">
        <f>(((SQRT($D$5)*$B$3)/SQRT(3))*60000)/($A$6*$B$16)</f>
        <v>800</v>
      </c>
      <c r="F6" s="107" t="s">
        <v>128</v>
      </c>
      <c r="G6" s="107" t="s">
        <v>154</v>
      </c>
      <c r="H6" s="430"/>
      <c r="I6" s="111">
        <v>1</v>
      </c>
      <c r="J6" s="109" t="str">
        <f>IF(I6="","","bis")</f>
        <v>bis</v>
      </c>
      <c r="K6" s="112">
        <v>3</v>
      </c>
      <c r="L6" s="111">
        <f>(((SQRT($I6)*$B$3)/SQRT(3))*60000)/($B$12*$B$16)</f>
        <v>6.1584028713560084</v>
      </c>
      <c r="M6" s="109" t="str">
        <f>IF(L6="","","bis")</f>
        <v>bis</v>
      </c>
      <c r="N6" s="112">
        <f>(((SQRT($K6)*$B$3)/SQRT(3))*60000)/($B$12*$B$16)</f>
        <v>10.666666666666666</v>
      </c>
      <c r="O6" s="113">
        <v>1</v>
      </c>
      <c r="P6" s="109" t="str">
        <f>IF(O6="","","bis")</f>
        <v>bis</v>
      </c>
      <c r="Q6" s="114">
        <v>6</v>
      </c>
      <c r="R6" s="63"/>
      <c r="S6" s="63"/>
      <c r="T6" s="63"/>
      <c r="U6" s="63"/>
    </row>
    <row r="7" spans="1:21" ht="18.75" thickBot="1" x14ac:dyDescent="0.3">
      <c r="A7" s="135">
        <v>5</v>
      </c>
      <c r="B7" s="106">
        <f>(((SQRT($B$5)*$B$3)/SQRT(3))*60000)/($A$7*$B$16)</f>
        <v>369.50417228136052</v>
      </c>
      <c r="C7" s="106">
        <f>(((SQRT($C$5)*$B$3)/SQRT(3))*60000)/($A$7*$B$16)</f>
        <v>522.5578117937448</v>
      </c>
      <c r="D7" s="106">
        <f>(((SQRT($D$5)*$B$3)/SQRT(3))*60000)/($A$7*$B$16)</f>
        <v>640</v>
      </c>
      <c r="F7" s="107" t="s">
        <v>98</v>
      </c>
      <c r="G7" s="431"/>
      <c r="H7" s="425" t="s">
        <v>230</v>
      </c>
      <c r="I7" s="111">
        <v>1.5</v>
      </c>
      <c r="J7" s="109" t="str">
        <f>IF(I7="","","bis")</f>
        <v>bis</v>
      </c>
      <c r="K7" s="112">
        <v>3</v>
      </c>
      <c r="L7" s="111">
        <f>(((SQRT($I7)*$B$3)/SQRT(3))*60000)/($B$12*$B$16)</f>
        <v>7.542472332656506</v>
      </c>
      <c r="M7" s="109" t="str">
        <f>IF(L7="","","bis")</f>
        <v>bis</v>
      </c>
      <c r="N7" s="112">
        <f>(((SQRT($K7)*$B$3)/SQRT(3))*60000)/($B$12*$B$16)</f>
        <v>10.666666666666666</v>
      </c>
      <c r="O7" s="113">
        <v>1.5</v>
      </c>
      <c r="P7" s="109" t="str">
        <f>IF(O7="","","bis")</f>
        <v>bis</v>
      </c>
      <c r="Q7" s="114">
        <v>6</v>
      </c>
      <c r="R7" s="63"/>
      <c r="S7" s="63"/>
      <c r="T7" s="63"/>
      <c r="U7" s="63"/>
    </row>
    <row r="8" spans="1:21" ht="18.75" thickBot="1" x14ac:dyDescent="0.3">
      <c r="A8" s="135">
        <v>6</v>
      </c>
      <c r="B8" s="106">
        <f>(((SQRT($B$5)*$B$3)/SQRT(3))*60000)/($A$8*$B$16)</f>
        <v>307.92014356780044</v>
      </c>
      <c r="C8" s="106">
        <f>(((SQRT($C$5)*$B$3)/SQRT(3))*60000)/($A$8*$B$16)</f>
        <v>435.46484316145404</v>
      </c>
      <c r="D8" s="106">
        <f>(((SQRT($D$5)*$B$3)/SQRT(3))*60000)/($A$8*$B$16)</f>
        <v>533.33333333333337</v>
      </c>
      <c r="F8" s="107" t="s">
        <v>98</v>
      </c>
      <c r="G8" s="431"/>
      <c r="H8" s="425" t="s">
        <v>231</v>
      </c>
      <c r="I8" s="111">
        <v>2</v>
      </c>
      <c r="J8" s="109" t="str">
        <f>IF(I8="","","bis")</f>
        <v>bis</v>
      </c>
      <c r="K8" s="112">
        <v>7</v>
      </c>
      <c r="L8" s="111">
        <f>(((SQRT($I8)*$B$3)/SQRT(3))*60000)/($B$12*$B$16)</f>
        <v>8.7092968632290795</v>
      </c>
      <c r="M8" s="109" t="str">
        <f>IF(L8="","","bis")</f>
        <v>bis</v>
      </c>
      <c r="N8" s="112">
        <f>(((SQRT($K8)*$B$3)/SQRT(3))*60000)/($B$12*$B$16)</f>
        <v>16.293602470954102</v>
      </c>
      <c r="O8" s="113">
        <v>2</v>
      </c>
      <c r="P8" s="109" t="str">
        <f>IF(O8="","","bis")</f>
        <v>bis</v>
      </c>
      <c r="Q8" s="114">
        <v>7</v>
      </c>
      <c r="R8" s="63"/>
      <c r="S8" s="63"/>
      <c r="T8" s="63"/>
      <c r="U8" s="63"/>
    </row>
    <row r="9" spans="1:21" ht="18.75" thickBot="1" x14ac:dyDescent="0.3">
      <c r="A9" s="135">
        <v>7</v>
      </c>
      <c r="B9" s="106">
        <f>(((SQRT($B$5)*$B$3)/SQRT(3))*60000)/($A$9*$B$16)</f>
        <v>263.93155162954321</v>
      </c>
      <c r="C9" s="106">
        <f>(((SQRT($C$5)*$B$3)/SQRT(3))*60000)/($A$9*$B$16)</f>
        <v>373.25557985267488</v>
      </c>
      <c r="D9" s="106">
        <f>(((SQRT($D$5)*$B$3)/SQRT(3))*60000)/($A$9*$B$16)</f>
        <v>457.14285714285717</v>
      </c>
      <c r="F9" s="107"/>
      <c r="G9" s="107"/>
      <c r="H9" s="425"/>
      <c r="I9" s="111"/>
      <c r="J9" s="109" t="str">
        <f>IF(I9="","","bis")</f>
        <v/>
      </c>
      <c r="K9" s="110"/>
      <c r="L9" s="111">
        <f>(((SQRT($I9)*$B$3)/SQRT(3))*60000)/($B$12*$B$16)</f>
        <v>0</v>
      </c>
      <c r="M9" s="109" t="str">
        <f>IF(L9="","","bis")</f>
        <v>bis</v>
      </c>
      <c r="N9" s="112">
        <f>(((SQRT($K9)*$B$3)/SQRT(3))*60000)/($B$12*$B$16)</f>
        <v>0</v>
      </c>
      <c r="O9" s="113"/>
      <c r="P9" s="109" t="str">
        <f>IF(O9="","","bis")</f>
        <v/>
      </c>
      <c r="Q9" s="114"/>
      <c r="R9" s="63"/>
      <c r="S9" s="63"/>
      <c r="T9" s="63"/>
      <c r="U9" s="63"/>
    </row>
    <row r="10" spans="1:21" ht="18.75" thickBot="1" x14ac:dyDescent="0.3">
      <c r="A10" s="136">
        <v>8</v>
      </c>
      <c r="B10" s="115">
        <f>(((SQRT($B$5)*$B$3)/SQRT(3))*60000)/($A$10*$B$16)</f>
        <v>230.94010767585033</v>
      </c>
      <c r="C10" s="115">
        <f>(((SQRT($C$5)*$B$3)/SQRT(3))*60000)/($A$10*$B$16)</f>
        <v>326.5986323710905</v>
      </c>
      <c r="D10" s="115">
        <f>(((SQRT($D$5)*$B$3)/SQRT(3))*60000)/($A$10*$B$16)</f>
        <v>400</v>
      </c>
      <c r="F10" s="107"/>
      <c r="G10" s="107"/>
      <c r="H10" s="425"/>
      <c r="I10" s="111"/>
      <c r="J10" s="109" t="str">
        <f>IF(I10="","","bis")</f>
        <v/>
      </c>
      <c r="K10" s="112"/>
      <c r="L10" s="111">
        <f>(((SQRT($I10)*$B$3)/SQRT(3))*60000)/($B$12*$B$16)</f>
        <v>0</v>
      </c>
      <c r="M10" s="109" t="str">
        <f>IF(L10="","","bis")</f>
        <v>bis</v>
      </c>
      <c r="N10" s="112">
        <f>(((SQRT($K10)*$B$3)/SQRT(3))*60000)/($B$12*$B$16)</f>
        <v>0</v>
      </c>
      <c r="O10" s="113"/>
      <c r="P10" s="109" t="str">
        <f>IF(O10="","","bis")</f>
        <v/>
      </c>
      <c r="Q10" s="114"/>
      <c r="R10" s="63"/>
      <c r="S10" s="63"/>
      <c r="T10" s="63"/>
      <c r="U10" s="63"/>
    </row>
    <row r="11" spans="1:21" ht="18.75" thickBot="1" x14ac:dyDescent="0.3">
      <c r="K11" s="116"/>
    </row>
    <row r="12" spans="1:21" ht="18.75" thickBot="1" x14ac:dyDescent="0.3">
      <c r="A12" s="117" t="s">
        <v>60</v>
      </c>
      <c r="B12" s="64">
        <v>300</v>
      </c>
      <c r="C12" s="66"/>
      <c r="D12" s="417"/>
      <c r="E12" s="417"/>
      <c r="F12" s="123"/>
      <c r="G12" s="119"/>
      <c r="H12" s="119"/>
    </row>
    <row r="13" spans="1:21" ht="18.75" thickBot="1" x14ac:dyDescent="0.3">
      <c r="A13" s="117" t="s">
        <v>61</v>
      </c>
      <c r="B13" s="120">
        <f>POWER(((SQRT(3)*$C$13)/$B$3),2)</f>
        <v>0.6591796875</v>
      </c>
      <c r="C13" s="121">
        <f>(B12*B14*B16)/60000</f>
        <v>0.75</v>
      </c>
      <c r="D13" s="418"/>
      <c r="E13" s="418"/>
      <c r="F13" s="123"/>
      <c r="G13" s="119"/>
      <c r="H13" s="119"/>
    </row>
    <row r="14" spans="1:21" ht="18.75" thickBot="1" x14ac:dyDescent="0.3">
      <c r="A14" s="117" t="s">
        <v>62</v>
      </c>
      <c r="B14" s="78">
        <v>5</v>
      </c>
      <c r="D14" s="140"/>
      <c r="E14" s="119"/>
      <c r="F14" s="137"/>
      <c r="G14" s="119"/>
      <c r="H14" s="119"/>
    </row>
    <row r="15" spans="1:21" ht="18.75" thickBot="1" x14ac:dyDescent="0.3">
      <c r="A15" s="117"/>
      <c r="B15" s="123"/>
      <c r="C15" s="124"/>
      <c r="D15" s="417"/>
      <c r="E15" s="417"/>
      <c r="F15" s="138"/>
      <c r="G15" s="138"/>
      <c r="H15" s="138"/>
    </row>
    <row r="16" spans="1:21" ht="18.75" thickBot="1" x14ac:dyDescent="0.3">
      <c r="A16" s="125" t="s">
        <v>63</v>
      </c>
      <c r="B16" s="126">
        <v>30</v>
      </c>
    </row>
    <row r="17" spans="1:3" ht="18.75" thickBot="1" x14ac:dyDescent="0.3">
      <c r="A17" s="122" t="s">
        <v>64</v>
      </c>
      <c r="B17" s="126">
        <v>120</v>
      </c>
    </row>
    <row r="18" spans="1:3" ht="18.75" thickBot="1" x14ac:dyDescent="0.3">
      <c r="A18" s="127" t="s">
        <v>65</v>
      </c>
      <c r="B18" s="128">
        <f>(B16*100)/B17</f>
        <v>25</v>
      </c>
    </row>
    <row r="19" spans="1:3" ht="18.75" thickBot="1" x14ac:dyDescent="0.3">
      <c r="A19" s="125" t="s">
        <v>66</v>
      </c>
      <c r="B19" s="129">
        <v>3</v>
      </c>
      <c r="C19" s="130">
        <f>(B16/B17)*B19</f>
        <v>0.75</v>
      </c>
    </row>
    <row r="20" spans="1:3" ht="18.75" thickBot="1" x14ac:dyDescent="0.3">
      <c r="A20" s="63" t="s">
        <v>67</v>
      </c>
      <c r="B20" s="131">
        <v>3</v>
      </c>
      <c r="C20" s="132">
        <f>(B20*C19)</f>
        <v>2.25</v>
      </c>
    </row>
    <row r="21" spans="1:3" ht="18.75" thickBot="1" x14ac:dyDescent="0.3">
      <c r="A21" s="63" t="s">
        <v>80</v>
      </c>
      <c r="C21" s="151">
        <f>(B12*C19)/1</f>
        <v>225</v>
      </c>
    </row>
  </sheetData>
  <sheetProtection algorithmName="SHA-512" hashValue="TvoGYT707Rt6g7fFhV+bzKPd/Y6Tatxg/yIsOAM4SWvVO7xvLW52JvDQdtG7L7PVX/Lv67ybYwLjPcoXgqTz2w==" saltValue="G997w8zg1DaGHW+y5xGk7w==" spinCount="100000" sheet="1" objects="1" scenarios="1"/>
  <mergeCells count="8">
    <mergeCell ref="L5:N5"/>
    <mergeCell ref="D12:E12"/>
    <mergeCell ref="D13:E13"/>
    <mergeCell ref="D15:E15"/>
    <mergeCell ref="B3:D3"/>
    <mergeCell ref="I4:N4"/>
    <mergeCell ref="O4:Q5"/>
    <mergeCell ref="I5:K5"/>
  </mergeCells>
  <conditionalFormatting sqref="B6">
    <cfRule type="cellIs" dxfId="134" priority="15" operator="greaterThan">
      <formula>$B$12</formula>
    </cfRule>
  </conditionalFormatting>
  <conditionalFormatting sqref="C6">
    <cfRule type="cellIs" dxfId="133" priority="14" operator="greaterThan">
      <formula>$B$12</formula>
    </cfRule>
  </conditionalFormatting>
  <conditionalFormatting sqref="D6">
    <cfRule type="cellIs" dxfId="132" priority="13" operator="greaterThan">
      <formula>$B$12</formula>
    </cfRule>
  </conditionalFormatting>
  <conditionalFormatting sqref="B7">
    <cfRule type="cellIs" dxfId="131" priority="12" operator="greaterThan">
      <formula>$B$12</formula>
    </cfRule>
  </conditionalFormatting>
  <conditionalFormatting sqref="C7">
    <cfRule type="cellIs" dxfId="130" priority="11" operator="greaterThan">
      <formula>$B$12</formula>
    </cfRule>
  </conditionalFormatting>
  <conditionalFormatting sqref="D7">
    <cfRule type="cellIs" dxfId="129" priority="10" operator="greaterThan">
      <formula>$B$12</formula>
    </cfRule>
  </conditionalFormatting>
  <conditionalFormatting sqref="B8">
    <cfRule type="cellIs" dxfId="128" priority="9" operator="greaterThan">
      <formula>$B$12</formula>
    </cfRule>
  </conditionalFormatting>
  <conditionalFormatting sqref="C8">
    <cfRule type="cellIs" dxfId="127" priority="8" operator="greaterThan">
      <formula>$B$12</formula>
    </cfRule>
  </conditionalFormatting>
  <conditionalFormatting sqref="D8">
    <cfRule type="cellIs" dxfId="126" priority="7" operator="greaterThan">
      <formula>$B$12</formula>
    </cfRule>
  </conditionalFormatting>
  <conditionalFormatting sqref="B9">
    <cfRule type="cellIs" dxfId="125" priority="6" operator="greaterThan">
      <formula>$B$12</formula>
    </cfRule>
  </conditionalFormatting>
  <conditionalFormatting sqref="B10">
    <cfRule type="cellIs" dxfId="124" priority="5" operator="greaterThan">
      <formula>$B$12</formula>
    </cfRule>
  </conditionalFormatting>
  <conditionalFormatting sqref="C9">
    <cfRule type="cellIs" dxfId="123" priority="4" operator="greaterThan">
      <formula>$B$12</formula>
    </cfRule>
  </conditionalFormatting>
  <conditionalFormatting sqref="D9">
    <cfRule type="cellIs" dxfId="122" priority="3" operator="greaterThan">
      <formula>$B$12</formula>
    </cfRule>
  </conditionalFormatting>
  <conditionalFormatting sqref="C10">
    <cfRule type="cellIs" dxfId="121" priority="2" operator="greaterThan">
      <formula>$B$12</formula>
    </cfRule>
  </conditionalFormatting>
  <conditionalFormatting sqref="D10">
    <cfRule type="cellIs" dxfId="120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zoomScale="80" zoomScaleNormal="80" workbookViewId="0">
      <selection activeCell="A3" sqref="A3:D3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14.44140625" style="63" bestFit="1" customWidth="1"/>
    <col min="4" max="4" width="9.77734375" style="63" bestFit="1" customWidth="1"/>
    <col min="5" max="5" width="8.88671875" style="63"/>
    <col min="6" max="6" width="14.5546875" style="63" bestFit="1" customWidth="1"/>
    <col min="7" max="7" width="16.8867187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42" t="s">
        <v>71</v>
      </c>
      <c r="B3" s="403">
        <v>1.6</v>
      </c>
      <c r="C3" s="403"/>
      <c r="D3" s="404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2</v>
      </c>
      <c r="D5" s="104">
        <v>3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4</v>
      </c>
      <c r="B6" s="106">
        <f>(((SQRT($B$5)*$B$3)/SQRT(3))*60000)/($A$6*$B$16)</f>
        <v>554.25625842204079</v>
      </c>
      <c r="C6" s="106">
        <f>(((SQRT($C$5)*$B$3)/SQRT(3))*60000)/($A$6*$B$16)</f>
        <v>783.83671769061721</v>
      </c>
      <c r="D6" s="106">
        <f>(((SQRT($D$5)*$B$3)/SQRT(3))*60000)/($A$6*$B$16)</f>
        <v>960</v>
      </c>
      <c r="F6" s="107" t="str">
        <f>_1438b</f>
        <v>Lechler</v>
      </c>
      <c r="G6" s="107" t="str">
        <f>_1438c</f>
        <v>ES 90 04E POM</v>
      </c>
      <c r="H6" s="108">
        <f>_1438h</f>
        <v>1.5</v>
      </c>
      <c r="I6" s="109" t="str">
        <f>IF(H6="","","bis")</f>
        <v>bis</v>
      </c>
      <c r="J6" s="110">
        <f>_1438i</f>
        <v>3</v>
      </c>
      <c r="K6" s="111">
        <f>(((SQRT($H6)*$B$3)/SQRT(3))*60000)/($B$12*$B$16)</f>
        <v>6.7882250993908562</v>
      </c>
      <c r="L6" s="109" t="str">
        <f>IF(K6="","","bis")</f>
        <v>bis</v>
      </c>
      <c r="M6" s="112">
        <f>(((SQRT($J6)*$B$3)/SQRT(3))*60000)/($B$12*$B$16)</f>
        <v>9.6</v>
      </c>
      <c r="N6" s="110">
        <f>_1438j</f>
        <v>1.5</v>
      </c>
      <c r="O6" s="109" t="str">
        <f>IF(N6="","","bis")</f>
        <v>bis</v>
      </c>
      <c r="P6" s="110">
        <f>_1438k</f>
        <v>3</v>
      </c>
      <c r="Q6" s="111">
        <f>(((SQRT($N6)*$B$3)/SQRT(3))*60000)/($B$12*$B$16)</f>
        <v>6.7882250993908562</v>
      </c>
      <c r="R6" s="109" t="str">
        <f>IF(Q6="","","bis")</f>
        <v>bis</v>
      </c>
      <c r="S6" s="112">
        <f>(((SQRT($P6)*$B$3)/SQRT(3))*60000)/($B$12*$B$16)</f>
        <v>9.6</v>
      </c>
      <c r="T6" s="108">
        <f>_1438l</f>
        <v>1.5</v>
      </c>
      <c r="U6" s="109" t="str">
        <f>IF(T6="","","bis")</f>
        <v>bis</v>
      </c>
      <c r="V6" s="110">
        <f>_1438m</f>
        <v>3</v>
      </c>
      <c r="W6" s="111">
        <f>(((SQRT($T6)*$B$3)/SQRT(3))*60000)/($B$12*$B$16)</f>
        <v>6.7882250993908562</v>
      </c>
      <c r="X6" s="109" t="str">
        <f>IF(W6="","","bis")</f>
        <v>bis</v>
      </c>
      <c r="Y6" s="112">
        <f>(((SQRT($V6)*$B$3)/SQRT(3))*60000)/($B$12*$B$16)</f>
        <v>9.6</v>
      </c>
      <c r="Z6" s="113">
        <f>_1438f</f>
        <v>1.5</v>
      </c>
      <c r="AA6" s="109" t="str">
        <f>IF(Z6="","","bis")</f>
        <v>bis</v>
      </c>
      <c r="AB6" s="114">
        <f>_1438g</f>
        <v>3</v>
      </c>
    </row>
    <row r="7" spans="1:28" ht="18.75" thickBot="1" x14ac:dyDescent="0.3">
      <c r="A7" s="135">
        <v>5</v>
      </c>
      <c r="B7" s="106">
        <f>(((SQRT($B$5)*$B$3)/SQRT(3))*60000)/($A$7*$B$16)</f>
        <v>443.40500673763262</v>
      </c>
      <c r="C7" s="106">
        <f>(((SQRT($C$5)*$B$3)/SQRT(3))*60000)/($A$7*$B$16)</f>
        <v>627.06937415249376</v>
      </c>
      <c r="D7" s="106">
        <f>(((SQRT($D$5)*$B$3)/SQRT(3))*60000)/($A$7*$B$16)</f>
        <v>768</v>
      </c>
      <c r="F7" s="107"/>
      <c r="G7" s="107"/>
      <c r="H7" s="108"/>
      <c r="I7" s="109" t="str">
        <f>IF(H7="","","bis")</f>
        <v/>
      </c>
      <c r="J7" s="112"/>
      <c r="K7" s="111">
        <f>(((SQRT($H7)*$B$3)/SQRT(3))*60000)/($B$12*$B$16)</f>
        <v>0</v>
      </c>
      <c r="L7" s="109" t="str">
        <f>IF(K7="","","bis")</f>
        <v>bis</v>
      </c>
      <c r="M7" s="112">
        <f>(((SQRT($J7)*$B$3)/SQRT(3))*60000)/($B$12*$B$16)</f>
        <v>0</v>
      </c>
      <c r="N7" s="111"/>
      <c r="O7" s="109" t="str">
        <f>IF(N7="","","bis")</f>
        <v/>
      </c>
      <c r="P7" s="112"/>
      <c r="Q7" s="111">
        <f>(((SQRT($N7)*$B$3)/SQRT(3))*60000)/($B$12*$B$16)</f>
        <v>0</v>
      </c>
      <c r="R7" s="109" t="str">
        <f>IF(Q7="","","bis")</f>
        <v>bis</v>
      </c>
      <c r="S7" s="112">
        <f>(((SQRT($P7)*$B$3)/SQRT(3))*60000)/($B$12*$B$16)</f>
        <v>0</v>
      </c>
      <c r="T7" s="111"/>
      <c r="U7" s="109" t="str">
        <f>IF(T7="","","bis")</f>
        <v/>
      </c>
      <c r="V7" s="112"/>
      <c r="W7" s="111">
        <f>(((SQRT($T7)*$B$3)/SQRT(3))*60000)/($B$12*$B$16)</f>
        <v>0</v>
      </c>
      <c r="X7" s="109" t="str">
        <f>IF(W7="","","bis")</f>
        <v>bis</v>
      </c>
      <c r="Y7" s="112">
        <f>(((SQRT($V7)*$B$3)/SQRT(3))*60000)/($B$12*$B$16)</f>
        <v>0</v>
      </c>
      <c r="Z7" s="113"/>
      <c r="AA7" s="109" t="str">
        <f>IF(Z7="","","bis")</f>
        <v/>
      </c>
      <c r="AB7" s="114"/>
    </row>
    <row r="8" spans="1:28" ht="18.75" thickBot="1" x14ac:dyDescent="0.3">
      <c r="A8" s="135">
        <v>6</v>
      </c>
      <c r="B8" s="106">
        <f>(((SQRT($B$5)*$B$3)/SQRT(3))*60000)/($A$8*$B$16)</f>
        <v>369.50417228136052</v>
      </c>
      <c r="C8" s="106">
        <f>(((SQRT($C$5)*$B$3)/SQRT(3))*60000)/($A$8*$B$16)</f>
        <v>522.5578117937448</v>
      </c>
      <c r="D8" s="106">
        <f>(((SQRT($D$5)*$B$3)/SQRT(3))*60000)/($A$8*$B$16)</f>
        <v>640</v>
      </c>
      <c r="F8" s="107"/>
      <c r="G8" s="107"/>
      <c r="H8" s="108"/>
      <c r="I8" s="109" t="str">
        <f>IF(H8="","","bis")</f>
        <v/>
      </c>
      <c r="J8" s="112"/>
      <c r="K8" s="111">
        <f>(((SQRT($H8)*$B$3)/SQRT(3))*60000)/($B$12*$B$16)</f>
        <v>0</v>
      </c>
      <c r="L8" s="109" t="str">
        <f>IF(K8="","","bis")</f>
        <v>bis</v>
      </c>
      <c r="M8" s="112">
        <f>(((SQRT($J8)*$B$3)/SQRT(3))*60000)/($B$12*$B$16)</f>
        <v>0</v>
      </c>
      <c r="N8" s="111"/>
      <c r="O8" s="109" t="str">
        <f>IF(N8="","","bis")</f>
        <v/>
      </c>
      <c r="P8" s="112"/>
      <c r="Q8" s="111">
        <f>(((SQRT($N8)*$B$3)/SQRT(3))*60000)/($B$12*$B$16)</f>
        <v>0</v>
      </c>
      <c r="R8" s="109" t="str">
        <f>IF(Q8="","","bis")</f>
        <v>bis</v>
      </c>
      <c r="S8" s="112">
        <f>(((SQRT($P8)*$B$3)/SQRT(3))*60000)/($B$12*$B$16)</f>
        <v>0</v>
      </c>
      <c r="T8" s="111"/>
      <c r="U8" s="109" t="str">
        <f>IF(T8="","","bis")</f>
        <v/>
      </c>
      <c r="V8" s="112"/>
      <c r="W8" s="111">
        <f>(((SQRT($T8)*$B$3)/SQRT(3))*60000)/($B$12*$B$16)</f>
        <v>0</v>
      </c>
      <c r="X8" s="109" t="str">
        <f>IF(W8="","","bis")</f>
        <v>bis</v>
      </c>
      <c r="Y8" s="112">
        <f>(((SQRT($V8)*$B$3)/SQRT(3))*60000)/($B$12*$B$16)</f>
        <v>0</v>
      </c>
      <c r="Z8" s="113"/>
      <c r="AA8" s="109" t="str">
        <f>IF(Z8="","","bis")</f>
        <v/>
      </c>
      <c r="AB8" s="114"/>
    </row>
    <row r="9" spans="1:28" ht="18.75" thickBot="1" x14ac:dyDescent="0.3">
      <c r="A9" s="135">
        <v>7</v>
      </c>
      <c r="B9" s="106">
        <f>(((SQRT($B$5)*$B$3)/SQRT(3))*60000)/($A$9*$B$16)</f>
        <v>316.71786195545189</v>
      </c>
      <c r="C9" s="106">
        <f>(((SQRT($C$5)*$B$3)/SQRT(3))*60000)/($A$9*$B$16)</f>
        <v>447.90669582320982</v>
      </c>
      <c r="D9" s="106">
        <f>(((SQRT($D$5)*$B$3)/SQRT(3))*60000)/($A$9*$B$16)</f>
        <v>548.57142857142856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(((SQRT($H9)*$B$3)/SQRT(3))*60000)/($B$12*$B$16)</f>
        <v>0</v>
      </c>
      <c r="L9" s="109" t="str">
        <f>IF(K9="","","bis")</f>
        <v>bis</v>
      </c>
      <c r="M9" s="112">
        <f>(((SQRT($J9)*$B$3)/SQRT(3))*60000)/($B$12*$B$16)</f>
        <v>0</v>
      </c>
      <c r="N9" s="111"/>
      <c r="O9" s="109" t="str">
        <f>IF(N9="","","bis")</f>
        <v/>
      </c>
      <c r="P9" s="112"/>
      <c r="Q9" s="111">
        <f>(((SQRT($N9)*$B$3)/SQRT(3))*60000)/($B$12*$B$16)</f>
        <v>0</v>
      </c>
      <c r="R9" s="109" t="str">
        <f>IF(Q9="","","bis")</f>
        <v>bis</v>
      </c>
      <c r="S9" s="112">
        <f>(((SQRT($P9)*$B$3)/SQRT(3))*60000)/($B$12*$B$16)</f>
        <v>0</v>
      </c>
      <c r="T9" s="111"/>
      <c r="U9" s="109" t="str">
        <f>IF(T9="","","bis")</f>
        <v/>
      </c>
      <c r="V9" s="110"/>
      <c r="W9" s="111">
        <f>(((SQRT($T9)*$B$3)/SQRT(3))*60000)/($B$12*$B$16)</f>
        <v>0</v>
      </c>
      <c r="X9" s="109" t="str">
        <f>IF(W9="","","bis")</f>
        <v>bis</v>
      </c>
      <c r="Y9" s="112">
        <f>(((SQRT($V9)*$B$3)/SQRT(3))*60000)/($B$12*$B$16)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8</v>
      </c>
      <c r="B10" s="115">
        <f>(((SQRT($B$5)*$B$3)/SQRT(3))*60000)/($A$10*$B$16)</f>
        <v>277.12812921102039</v>
      </c>
      <c r="C10" s="115">
        <f>(((SQRT($C$5)*$B$3)/SQRT(3))*60000)/($A$10*$B$16)</f>
        <v>391.9183588453086</v>
      </c>
      <c r="D10" s="115">
        <f>(((SQRT($D$5)*$B$3)/SQRT(3))*60000)/($A$10*$B$16)</f>
        <v>480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(((SQRT($H10)*$B$3)/SQRT(3))*60000)/($B$12*$B$16)</f>
        <v>0</v>
      </c>
      <c r="L10" s="109" t="str">
        <f>IF(K10="","","bis")</f>
        <v>bis</v>
      </c>
      <c r="M10" s="112">
        <f>(((SQRT($J10)*$B$3)/SQRT(3))*60000)/($B$12*$B$16)</f>
        <v>0</v>
      </c>
      <c r="N10" s="111"/>
      <c r="O10" s="109" t="str">
        <f>IF(N10="","","bis")</f>
        <v/>
      </c>
      <c r="P10" s="112"/>
      <c r="Q10" s="111">
        <f>(((SQRT($N10)*$B$3)/SQRT(3))*60000)/($B$12*$B$16)</f>
        <v>0</v>
      </c>
      <c r="R10" s="109" t="str">
        <f>IF(Q10="","","bis")</f>
        <v>bis</v>
      </c>
      <c r="S10" s="112">
        <f>(((SQRT($P10)*$B$3)/SQRT(3))*60000)/($B$12*$B$16)</f>
        <v>0</v>
      </c>
      <c r="T10" s="111"/>
      <c r="U10" s="109" t="str">
        <f>IF(T10="","","bis")</f>
        <v/>
      </c>
      <c r="V10" s="112"/>
      <c r="W10" s="111">
        <f>(((SQRT($T10)*$B$3)/SQRT(3))*60000)/($B$12*$B$16)</f>
        <v>0</v>
      </c>
      <c r="X10" s="109" t="str">
        <f>IF(W10="","","bis")</f>
        <v>bis</v>
      </c>
      <c r="Y10" s="112">
        <f>(((SQRT($V10)*$B$3)/SQRT(3))*60000)/($B$12*$B$16)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400</v>
      </c>
      <c r="C12" s="66"/>
      <c r="D12" s="417"/>
      <c r="E12" s="417"/>
      <c r="F12" s="143"/>
      <c r="G12" s="119"/>
    </row>
    <row r="13" spans="1:28" ht="18.75" thickBot="1" x14ac:dyDescent="0.3">
      <c r="A13" s="117" t="s">
        <v>61</v>
      </c>
      <c r="B13" s="120">
        <f>POWER(((SQRT(3)*$C$13)/$B$3),2)</f>
        <v>1.5950520833333333</v>
      </c>
      <c r="C13" s="121">
        <f>(B12*B14*B16)/60000</f>
        <v>1.1666666666666667</v>
      </c>
      <c r="D13" s="418"/>
      <c r="E13" s="418"/>
      <c r="F13" s="143"/>
      <c r="G13" s="119"/>
    </row>
    <row r="14" spans="1:28" ht="18.75" thickBot="1" x14ac:dyDescent="0.3">
      <c r="A14" s="117" t="s">
        <v>62</v>
      </c>
      <c r="B14" s="78">
        <v>7</v>
      </c>
      <c r="D14" s="140"/>
      <c r="E14" s="119"/>
      <c r="F14" s="137"/>
      <c r="G14" s="119"/>
    </row>
    <row r="15" spans="1:28" ht="18.75" thickBot="1" x14ac:dyDescent="0.3">
      <c r="A15" s="117"/>
      <c r="B15" s="123"/>
      <c r="C15" s="124"/>
      <c r="D15" s="417"/>
      <c r="E15" s="417"/>
      <c r="F15" s="144"/>
      <c r="G15" s="138"/>
    </row>
    <row r="16" spans="1:28" ht="18.75" thickBot="1" x14ac:dyDescent="0.3">
      <c r="A16" s="125" t="s">
        <v>63</v>
      </c>
      <c r="B16" s="126">
        <v>25</v>
      </c>
      <c r="F16" s="119"/>
      <c r="G16" s="119"/>
    </row>
    <row r="17" spans="1:3" ht="18.75" thickBot="1" x14ac:dyDescent="0.3">
      <c r="A17" s="122" t="s">
        <v>64</v>
      </c>
      <c r="B17" s="126">
        <v>75</v>
      </c>
    </row>
    <row r="18" spans="1:3" ht="18.75" thickBot="1" x14ac:dyDescent="0.3">
      <c r="A18" s="127" t="s">
        <v>65</v>
      </c>
      <c r="B18" s="128">
        <f>(B16*100)/B17</f>
        <v>33.333333333333336</v>
      </c>
    </row>
    <row r="19" spans="1:3" ht="18.75" thickBot="1" x14ac:dyDescent="0.3">
      <c r="A19" s="125" t="s">
        <v>66</v>
      </c>
      <c r="B19" s="129">
        <v>3</v>
      </c>
      <c r="C19" s="130">
        <f>(B16/B17)*B19</f>
        <v>1</v>
      </c>
    </row>
    <row r="20" spans="1:3" ht="18.75" thickBot="1" x14ac:dyDescent="0.3">
      <c r="A20" s="63" t="s">
        <v>67</v>
      </c>
      <c r="B20" s="131">
        <v>3</v>
      </c>
      <c r="C20" s="132">
        <f>(B20*C19)</f>
        <v>3</v>
      </c>
    </row>
    <row r="21" spans="1:3" ht="18.75" thickBot="1" x14ac:dyDescent="0.3">
      <c r="A21" s="63" t="s">
        <v>80</v>
      </c>
      <c r="C21" s="151">
        <f>(B12*C19)/1</f>
        <v>400</v>
      </c>
    </row>
  </sheetData>
  <sheetProtection algorithmName="SHA-512" hashValue="we3ifhPxrySsMBVnwCySEKmeOhDwBADPWQO/3q7cvL69rWnMureIVtfF9uKsEiOTkYjXvge4LdyoCNxRxKDp6g==" saltValue="Tuq2tCRZEG17ztjTfPGp1g==" spinCount="100000" sheet="1" objects="1" scenarios="1"/>
  <mergeCells count="14">
    <mergeCell ref="Z4:AB5"/>
    <mergeCell ref="H5:J5"/>
    <mergeCell ref="K5:M5"/>
    <mergeCell ref="N5:P5"/>
    <mergeCell ref="Q5:S5"/>
    <mergeCell ref="T5:V5"/>
    <mergeCell ref="W5:Y5"/>
    <mergeCell ref="N4:S4"/>
    <mergeCell ref="T4:Y4"/>
    <mergeCell ref="D12:E12"/>
    <mergeCell ref="D13:E13"/>
    <mergeCell ref="D15:E15"/>
    <mergeCell ref="B3:D3"/>
    <mergeCell ref="H4:M4"/>
  </mergeCells>
  <conditionalFormatting sqref="B6">
    <cfRule type="cellIs" dxfId="119" priority="15" operator="greaterThan">
      <formula>$B$12</formula>
    </cfRule>
  </conditionalFormatting>
  <conditionalFormatting sqref="C6">
    <cfRule type="cellIs" dxfId="118" priority="14" operator="greaterThan">
      <formula>$B$12</formula>
    </cfRule>
  </conditionalFormatting>
  <conditionalFormatting sqref="D6">
    <cfRule type="cellIs" dxfId="117" priority="13" operator="greaterThan">
      <formula>$B$12</formula>
    </cfRule>
  </conditionalFormatting>
  <conditionalFormatting sqref="B7">
    <cfRule type="cellIs" dxfId="116" priority="12" operator="greaterThan">
      <formula>$B$12</formula>
    </cfRule>
  </conditionalFormatting>
  <conditionalFormatting sqref="C7">
    <cfRule type="cellIs" dxfId="115" priority="11" operator="greaterThan">
      <formula>$B$12</formula>
    </cfRule>
  </conditionalFormatting>
  <conditionalFormatting sqref="D7">
    <cfRule type="cellIs" dxfId="114" priority="10" operator="greaterThan">
      <formula>$B$12</formula>
    </cfRule>
  </conditionalFormatting>
  <conditionalFormatting sqref="B8">
    <cfRule type="cellIs" dxfId="113" priority="9" operator="greaterThan">
      <formula>$B$12</formula>
    </cfRule>
  </conditionalFormatting>
  <conditionalFormatting sqref="C8">
    <cfRule type="cellIs" dxfId="112" priority="8" operator="greaterThan">
      <formula>$B$12</formula>
    </cfRule>
  </conditionalFormatting>
  <conditionalFormatting sqref="D8">
    <cfRule type="cellIs" dxfId="111" priority="7" operator="greaterThan">
      <formula>$B$12</formula>
    </cfRule>
  </conditionalFormatting>
  <conditionalFormatting sqref="B9">
    <cfRule type="cellIs" dxfId="110" priority="6" operator="greaterThan">
      <formula>$B$12</formula>
    </cfRule>
  </conditionalFormatting>
  <conditionalFormatting sqref="B10">
    <cfRule type="cellIs" dxfId="109" priority="5" operator="greaterThan">
      <formula>$B$12</formula>
    </cfRule>
  </conditionalFormatting>
  <conditionalFormatting sqref="C9">
    <cfRule type="cellIs" dxfId="108" priority="4" operator="greaterThan">
      <formula>$B$12</formula>
    </cfRule>
  </conditionalFormatting>
  <conditionalFormatting sqref="D9">
    <cfRule type="cellIs" dxfId="107" priority="3" operator="greaterThan">
      <formula>$B$12</formula>
    </cfRule>
  </conditionalFormatting>
  <conditionalFormatting sqref="C10">
    <cfRule type="cellIs" dxfId="106" priority="2" operator="greaterThan">
      <formula>$B$12</formula>
    </cfRule>
  </conditionalFormatting>
  <conditionalFormatting sqref="D10">
    <cfRule type="cellIs" dxfId="105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9.5546875" style="63" bestFit="1" customWidth="1"/>
    <col min="3" max="3" width="12.6640625" style="63" bestFit="1" customWidth="1"/>
    <col min="4" max="4" width="9.77734375" style="63" bestFit="1" customWidth="1"/>
    <col min="5" max="5" width="10.5546875" style="63" customWidth="1"/>
    <col min="6" max="6" width="14.5546875" style="63" bestFit="1" customWidth="1"/>
    <col min="7" max="7" width="14.5546875" style="63" customWidth="1"/>
    <col min="8" max="8" width="4" style="63" customWidth="1"/>
    <col min="9" max="9" width="4" style="63" bestFit="1" customWidth="1"/>
    <col min="10" max="10" width="5.21875" style="63" bestFit="1" customWidth="1"/>
    <col min="11" max="13" width="5.21875" style="63" customWidth="1"/>
    <col min="14" max="14" width="5.21875" style="63" bestFit="1" customWidth="1"/>
    <col min="15" max="16" width="4" style="100" bestFit="1" customWidth="1"/>
    <col min="17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01" t="s">
        <v>52</v>
      </c>
      <c r="B3" s="419">
        <v>0.4</v>
      </c>
      <c r="C3" s="419"/>
      <c r="D3" s="420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2</v>
      </c>
      <c r="D5" s="104">
        <v>3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05">
        <v>4</v>
      </c>
      <c r="B6" s="106">
        <f>(((SQRT($B$5)*$B$3)/SQRT(3))*60000)/($A$6*$B$16)</f>
        <v>173.20508075688775</v>
      </c>
      <c r="C6" s="106">
        <f>(((SQRT($C$5)*$B$3)/SQRT(3))*60000)/($A$6*$B$16)</f>
        <v>244.94897427831788</v>
      </c>
      <c r="D6" s="106">
        <f>(((SQRT($D$5)*$B$3)/SQRT(3))*60000)/($A$6*$B$16)</f>
        <v>300</v>
      </c>
      <c r="F6" s="107"/>
      <c r="G6" s="107"/>
      <c r="H6" s="108"/>
      <c r="I6" s="109" t="s">
        <v>59</v>
      </c>
      <c r="J6" s="110"/>
      <c r="K6" s="111">
        <f>(((SQRT($H6)*$B$3)/SQRT(3))*60000)/($B$12*$B$16)</f>
        <v>0</v>
      </c>
      <c r="L6" s="109" t="str">
        <f>IF(K6="","","bis")</f>
        <v>bis</v>
      </c>
      <c r="M6" s="112">
        <f>(((SQRT($J6)*$B$3)/SQRT(3))*60000)/($B$12*$B$16)</f>
        <v>0</v>
      </c>
      <c r="N6" s="110"/>
      <c r="O6" s="109" t="s">
        <v>59</v>
      </c>
      <c r="P6" s="110"/>
      <c r="Q6" s="111">
        <f>(((SQRT($N6)*$B$3)/SQRT(3))*60000)/($B$12*$B$16)</f>
        <v>0</v>
      </c>
      <c r="R6" s="109" t="str">
        <f>IF(Q6="","","bis")</f>
        <v>bis</v>
      </c>
      <c r="S6" s="112">
        <f>(((SQRT($P6)*$B$3)/SQRT(3))*60000)/($B$12*$B$16)</f>
        <v>0</v>
      </c>
      <c r="T6" s="108"/>
      <c r="U6" s="109" t="s">
        <v>59</v>
      </c>
      <c r="V6" s="110"/>
      <c r="W6" s="111">
        <f>(((SQRT($T6)*$B$3)/SQRT(3))*60000)/($B$12*$B$16)</f>
        <v>0</v>
      </c>
      <c r="X6" s="109" t="str">
        <f>IF(W6="","","bis")</f>
        <v>bis</v>
      </c>
      <c r="Y6" s="112">
        <f>(((SQRT($V6)*$B$3)/SQRT(3))*60000)/($B$12*$B$16)</f>
        <v>0</v>
      </c>
      <c r="Z6" s="113"/>
      <c r="AA6" s="109" t="s">
        <v>59</v>
      </c>
      <c r="AB6" s="114"/>
    </row>
    <row r="7" spans="1:28" ht="18.75" thickBot="1" x14ac:dyDescent="0.3">
      <c r="A7" s="105">
        <v>5</v>
      </c>
      <c r="B7" s="106">
        <f>(((SQRT($B$5)*$B$3)/SQRT(3))*60000)/($A$7*$B$16)</f>
        <v>138.5640646055102</v>
      </c>
      <c r="C7" s="106">
        <f>(((SQRT($C$5)*$B$3)/SQRT(3))*60000)/($A$7*$B$16)</f>
        <v>195.9591794226543</v>
      </c>
      <c r="D7" s="106">
        <f>(((SQRT($D$5)*$B$3)/SQRT(3))*60000)/($A$7*$B$16)</f>
        <v>240</v>
      </c>
      <c r="F7" s="107"/>
      <c r="G7" s="107"/>
      <c r="H7" s="108"/>
      <c r="I7" s="109" t="s">
        <v>59</v>
      </c>
      <c r="J7" s="112"/>
      <c r="K7" s="111">
        <f>(((SQRT($H7)*$B$3)/SQRT(3))*60000)/($B$12*$B$16)</f>
        <v>0</v>
      </c>
      <c r="L7" s="109" t="str">
        <f>IF(K7="","","bis")</f>
        <v>bis</v>
      </c>
      <c r="M7" s="112">
        <f>(((SQRT($J7)*$B$3)/SQRT(3))*60000)/($B$12*$B$16)</f>
        <v>0</v>
      </c>
      <c r="N7" s="111"/>
      <c r="O7" s="109" t="s">
        <v>59</v>
      </c>
      <c r="P7" s="112"/>
      <c r="Q7" s="111">
        <f>(((SQRT($N7)*$B$3)/SQRT(3))*60000)/($B$12*$B$16)</f>
        <v>0</v>
      </c>
      <c r="R7" s="109" t="str">
        <f>IF(Q7="","","bis")</f>
        <v>bis</v>
      </c>
      <c r="S7" s="112">
        <f>(((SQRT($P7)*$B$3)/SQRT(3))*60000)/($B$12*$B$16)</f>
        <v>0</v>
      </c>
      <c r="T7" s="111"/>
      <c r="U7" s="109" t="s">
        <v>59</v>
      </c>
      <c r="V7" s="112"/>
      <c r="W7" s="111">
        <f>(((SQRT($T7)*$B$3)/SQRT(3))*60000)/($B$12*$B$16)</f>
        <v>0</v>
      </c>
      <c r="X7" s="109" t="str">
        <f>IF(W7="","","bis")</f>
        <v>bis</v>
      </c>
      <c r="Y7" s="112">
        <f>(((SQRT($V7)*$B$3)/SQRT(3))*60000)/($B$12*$B$16)</f>
        <v>0</v>
      </c>
      <c r="Z7" s="113"/>
      <c r="AA7" s="109" t="s">
        <v>59</v>
      </c>
      <c r="AB7" s="114"/>
    </row>
    <row r="8" spans="1:28" ht="18.75" thickBot="1" x14ac:dyDescent="0.3">
      <c r="A8" s="105">
        <v>6</v>
      </c>
      <c r="B8" s="106">
        <f>(((SQRT($B$5)*$B$3)/SQRT(3))*60000)/($A$8*$B$16)</f>
        <v>115.47005383792516</v>
      </c>
      <c r="C8" s="106">
        <f>(((SQRT($C$5)*$B$3)/SQRT(3))*60000)/($A$8*$B$16)</f>
        <v>163.29931618554525</v>
      </c>
      <c r="D8" s="106">
        <f>(((SQRT($D$5)*$B$3)/SQRT(3))*60000)/($A$8*$B$16)</f>
        <v>200</v>
      </c>
      <c r="F8" s="107"/>
      <c r="G8" s="107"/>
      <c r="H8" s="108"/>
      <c r="I8" s="109" t="s">
        <v>59</v>
      </c>
      <c r="J8" s="112"/>
      <c r="K8" s="111">
        <f>(((SQRT($H8)*$B$3)/SQRT(3))*60000)/($B$12*$B$16)</f>
        <v>0</v>
      </c>
      <c r="L8" s="109" t="str">
        <f>IF(K8="","","bis")</f>
        <v>bis</v>
      </c>
      <c r="M8" s="112">
        <f>(((SQRT($J8)*$B$3)/SQRT(3))*60000)/($B$12*$B$16)</f>
        <v>0</v>
      </c>
      <c r="N8" s="111"/>
      <c r="O8" s="109" t="s">
        <v>59</v>
      </c>
      <c r="P8" s="112"/>
      <c r="Q8" s="111">
        <f>(((SQRT($N8)*$B$3)/SQRT(3))*60000)/($B$12*$B$16)</f>
        <v>0</v>
      </c>
      <c r="R8" s="109" t="str">
        <f>IF(Q8="","","bis")</f>
        <v>bis</v>
      </c>
      <c r="S8" s="112">
        <f>(((SQRT($P8)*$B$3)/SQRT(3))*60000)/($B$12*$B$16)</f>
        <v>0</v>
      </c>
      <c r="T8" s="111"/>
      <c r="U8" s="109" t="s">
        <v>59</v>
      </c>
      <c r="V8" s="112"/>
      <c r="W8" s="111">
        <f>(((SQRT($T8)*$B$3)/SQRT(3))*60000)/($B$12*$B$16)</f>
        <v>0</v>
      </c>
      <c r="X8" s="109" t="str">
        <f>IF(W8="","","bis")</f>
        <v>bis</v>
      </c>
      <c r="Y8" s="112">
        <f>(((SQRT($V8)*$B$3)/SQRT(3))*60000)/($B$12*$B$16)</f>
        <v>0</v>
      </c>
      <c r="Z8" s="113"/>
      <c r="AA8" s="109" t="s">
        <v>59</v>
      </c>
      <c r="AB8" s="114"/>
    </row>
    <row r="9" spans="1:28" ht="18.75" thickBot="1" x14ac:dyDescent="0.3">
      <c r="A9" s="105">
        <v>7</v>
      </c>
      <c r="B9" s="106">
        <f>(((SQRT($B$5)*$B$3)/SQRT(3))*60000)/($A$9*$B$16)</f>
        <v>98.97433186107871</v>
      </c>
      <c r="C9" s="106">
        <f>(((SQRT($C$5)*$B$3)/SQRT(3))*60000)/($A$9*$B$16)</f>
        <v>139.97084244475309</v>
      </c>
      <c r="D9" s="106">
        <f>(((SQRT($D$5)*$B$3)/SQRT(3))*60000)/($A$9*$B$16)</f>
        <v>171.42857142857142</v>
      </c>
      <c r="F9" s="107"/>
      <c r="G9" s="107"/>
      <c r="H9" s="108"/>
      <c r="I9" s="109" t="s">
        <v>59</v>
      </c>
      <c r="J9" s="112"/>
      <c r="K9" s="111">
        <f>(((SQRT($H9)*$B$3)/SQRT(3))*60000)/($B$12*$B$16)</f>
        <v>0</v>
      </c>
      <c r="L9" s="109" t="str">
        <f>IF(K9="","","bis")</f>
        <v>bis</v>
      </c>
      <c r="M9" s="112">
        <f>(((SQRT($J9)*$B$3)/SQRT(3))*60000)/($B$12*$B$16)</f>
        <v>0</v>
      </c>
      <c r="N9" s="111"/>
      <c r="O9" s="109" t="s">
        <v>59</v>
      </c>
      <c r="P9" s="112"/>
      <c r="Q9" s="111">
        <f>(((SQRT($N9)*$B$3)/SQRT(3))*60000)/($B$12*$B$16)</f>
        <v>0</v>
      </c>
      <c r="R9" s="109" t="str">
        <f>IF(Q9="","","bis")</f>
        <v>bis</v>
      </c>
      <c r="S9" s="112">
        <f>(((SQRT($P9)*$B$3)/SQRT(3))*60000)/($B$12*$B$16)</f>
        <v>0</v>
      </c>
      <c r="T9" s="111"/>
      <c r="U9" s="109" t="s">
        <v>59</v>
      </c>
      <c r="V9" s="110"/>
      <c r="W9" s="111">
        <f>(((SQRT($T9)*$B$3)/SQRT(3))*60000)/($B$12*$B$16)</f>
        <v>0</v>
      </c>
      <c r="X9" s="109" t="str">
        <f>IF(W9="","","bis")</f>
        <v>bis</v>
      </c>
      <c r="Y9" s="112">
        <f>(((SQRT($V9)*$B$3)/SQRT(3))*60000)/($B$12*$B$16)</f>
        <v>0</v>
      </c>
      <c r="Z9" s="113"/>
      <c r="AA9" s="109" t="s">
        <v>59</v>
      </c>
      <c r="AB9" s="114"/>
    </row>
    <row r="10" spans="1:28" ht="18.75" thickBot="1" x14ac:dyDescent="0.3">
      <c r="A10" s="105">
        <v>8</v>
      </c>
      <c r="B10" s="115">
        <f>(((SQRT($B$5)*$B$3)/SQRT(3))*60000)/($A$10*$B$16)</f>
        <v>86.602540378443877</v>
      </c>
      <c r="C10" s="115">
        <f>(((SQRT($C$5)*$B$3)/SQRT(3))*60000)/($A$10*$B$16)</f>
        <v>122.47448713915894</v>
      </c>
      <c r="D10" s="115">
        <f>(((SQRT($D$5)*$B$3)/SQRT(3))*60000)/($A$10*$B$16)</f>
        <v>150</v>
      </c>
      <c r="F10" s="107"/>
      <c r="G10" s="107"/>
      <c r="H10" s="108"/>
      <c r="I10" s="109" t="s">
        <v>59</v>
      </c>
      <c r="J10" s="112"/>
      <c r="K10" s="111">
        <f>(((SQRT($H10)*$B$3)/SQRT(3))*60000)/($B$12*$B$16)</f>
        <v>0</v>
      </c>
      <c r="L10" s="109" t="str">
        <f>IF(K10="","","bis")</f>
        <v>bis</v>
      </c>
      <c r="M10" s="112">
        <f>(((SQRT($J10)*$B$3)/SQRT(3))*60000)/($B$12*$B$16)</f>
        <v>0</v>
      </c>
      <c r="N10" s="111"/>
      <c r="O10" s="109" t="s">
        <v>59</v>
      </c>
      <c r="P10" s="112"/>
      <c r="Q10" s="111">
        <f>(((SQRT($N10)*$B$3)/SQRT(3))*60000)/($B$12*$B$16)</f>
        <v>0</v>
      </c>
      <c r="R10" s="109" t="str">
        <f>IF(Q10="","","bis")</f>
        <v>bis</v>
      </c>
      <c r="S10" s="112">
        <f>(((SQRT($P10)*$B$3)/SQRT(3))*60000)/($B$12*$B$16)</f>
        <v>0</v>
      </c>
      <c r="T10" s="111"/>
      <c r="U10" s="109" t="s">
        <v>59</v>
      </c>
      <c r="V10" s="112"/>
      <c r="W10" s="111">
        <f>(((SQRT($T10)*$B$3)/SQRT(3))*60000)/($B$12*$B$16)</f>
        <v>0</v>
      </c>
      <c r="X10" s="109" t="str">
        <f>IF(W10="","","bis")</f>
        <v>bis</v>
      </c>
      <c r="Y10" s="112">
        <f>(((SQRT($V10)*$B$3)/SQRT(3))*60000)/($B$12*$B$16)</f>
        <v>0</v>
      </c>
      <c r="Z10" s="113"/>
      <c r="AA10" s="109" t="s">
        <v>59</v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300</v>
      </c>
      <c r="C12" s="66"/>
      <c r="E12" s="118"/>
      <c r="F12" s="119"/>
    </row>
    <row r="13" spans="1:28" ht="18.75" thickBot="1" x14ac:dyDescent="0.3">
      <c r="A13" s="117" t="s">
        <v>61</v>
      </c>
      <c r="B13" s="120">
        <f>POWER(((SQRT(3)*$C$13)/$B$3),2)</f>
        <v>6.7499999999999982</v>
      </c>
      <c r="C13" s="121">
        <f>(B12*B14*B16)/60000</f>
        <v>0.6</v>
      </c>
      <c r="E13" s="122"/>
    </row>
    <row r="14" spans="1:28" ht="18.75" thickBot="1" x14ac:dyDescent="0.3">
      <c r="A14" s="117" t="s">
        <v>62</v>
      </c>
      <c r="B14" s="78">
        <v>6</v>
      </c>
    </row>
    <row r="15" spans="1:28" ht="18.75" thickBot="1" x14ac:dyDescent="0.3">
      <c r="A15" s="117"/>
      <c r="B15" s="123"/>
      <c r="C15" s="124"/>
      <c r="E15" s="125"/>
    </row>
    <row r="16" spans="1:28" ht="18.75" thickBot="1" x14ac:dyDescent="0.3">
      <c r="A16" s="125" t="s">
        <v>63</v>
      </c>
      <c r="B16" s="126">
        <v>20</v>
      </c>
    </row>
    <row r="17" spans="1:3" ht="18.75" thickBot="1" x14ac:dyDescent="0.3">
      <c r="A17" s="122" t="s">
        <v>64</v>
      </c>
      <c r="B17" s="126">
        <v>45</v>
      </c>
    </row>
    <row r="18" spans="1:3" ht="18.75" thickBot="1" x14ac:dyDescent="0.3">
      <c r="A18" s="127" t="s">
        <v>65</v>
      </c>
      <c r="B18" s="128">
        <f>(B16*100)/B17</f>
        <v>44.444444444444443</v>
      </c>
    </row>
    <row r="19" spans="1:3" ht="18.75" thickBot="1" x14ac:dyDescent="0.3">
      <c r="A19" s="125" t="s">
        <v>66</v>
      </c>
      <c r="B19" s="129">
        <v>3</v>
      </c>
      <c r="C19" s="130">
        <f>(B16/B17)*B19</f>
        <v>1.3333333333333333</v>
      </c>
    </row>
    <row r="20" spans="1:3" ht="18.75" thickBot="1" x14ac:dyDescent="0.3">
      <c r="A20" s="63" t="s">
        <v>67</v>
      </c>
      <c r="B20" s="131">
        <v>3</v>
      </c>
      <c r="C20" s="132">
        <f>(B20*C19)</f>
        <v>4</v>
      </c>
    </row>
    <row r="21" spans="1:3" ht="18.75" thickBot="1" x14ac:dyDescent="0.3">
      <c r="A21" s="63" t="s">
        <v>80</v>
      </c>
      <c r="C21" s="151">
        <f>(B12*C19)/1</f>
        <v>400</v>
      </c>
    </row>
  </sheetData>
  <sheetProtection algorithmName="SHA-512" hashValue="amdpLpjsEv13TFlBPKp1WsRWYA9ES9FLfgLaw8UG6dRluc/MouOjsnUb7+DKxFc3OaYYQKL91J4Bb2WPDID9wA==" saltValue="Jj17w28k/VBdrR81Q3gSuA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104" priority="15" operator="greaterThan">
      <formula>$B$12</formula>
    </cfRule>
  </conditionalFormatting>
  <conditionalFormatting sqref="C6">
    <cfRule type="cellIs" dxfId="103" priority="14" operator="greaterThan">
      <formula>$B$12</formula>
    </cfRule>
  </conditionalFormatting>
  <conditionalFormatting sqref="D6">
    <cfRule type="cellIs" dxfId="102" priority="13" operator="greaterThan">
      <formula>$B$12</formula>
    </cfRule>
  </conditionalFormatting>
  <conditionalFormatting sqref="B7">
    <cfRule type="cellIs" dxfId="101" priority="12" operator="greaterThan">
      <formula>$B$12</formula>
    </cfRule>
  </conditionalFormatting>
  <conditionalFormatting sqref="C7">
    <cfRule type="cellIs" dxfId="100" priority="11" operator="greaterThan">
      <formula>$B$12</formula>
    </cfRule>
  </conditionalFormatting>
  <conditionalFormatting sqref="D7">
    <cfRule type="cellIs" dxfId="99" priority="10" operator="greaterThan">
      <formula>$B$12</formula>
    </cfRule>
  </conditionalFormatting>
  <conditionalFormatting sqref="B8">
    <cfRule type="cellIs" dxfId="98" priority="9" operator="greaterThan">
      <formula>$B$12</formula>
    </cfRule>
  </conditionalFormatting>
  <conditionalFormatting sqref="C8">
    <cfRule type="cellIs" dxfId="97" priority="8" operator="greaterThan">
      <formula>$B$12</formula>
    </cfRule>
  </conditionalFormatting>
  <conditionalFormatting sqref="D8">
    <cfRule type="cellIs" dxfId="96" priority="7" operator="greaterThan">
      <formula>$B$12</formula>
    </cfRule>
  </conditionalFormatting>
  <conditionalFormatting sqref="B9">
    <cfRule type="cellIs" dxfId="95" priority="6" operator="greaterThan">
      <formula>$B$12</formula>
    </cfRule>
  </conditionalFormatting>
  <conditionalFormatting sqref="B10">
    <cfRule type="cellIs" dxfId="94" priority="5" operator="greaterThan">
      <formula>$B$12</formula>
    </cfRule>
  </conditionalFormatting>
  <conditionalFormatting sqref="C9">
    <cfRule type="cellIs" dxfId="93" priority="4" operator="greaterThan">
      <formula>$B$12</formula>
    </cfRule>
  </conditionalFormatting>
  <conditionalFormatting sqref="D9">
    <cfRule type="cellIs" dxfId="92" priority="3" operator="greaterThan">
      <formula>$B$12</formula>
    </cfRule>
  </conditionalFormatting>
  <conditionalFormatting sqref="C10">
    <cfRule type="cellIs" dxfId="91" priority="2" operator="greaterThan">
      <formula>$B$12</formula>
    </cfRule>
  </conditionalFormatting>
  <conditionalFormatting sqref="D10">
    <cfRule type="cellIs" dxfId="90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zoomScale="80" zoomScaleNormal="80" workbookViewId="0">
      <selection activeCell="F24" sqref="F24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12.6640625" style="63" bestFit="1" customWidth="1"/>
    <col min="4" max="4" width="9.77734375" style="63" bestFit="1" customWidth="1"/>
    <col min="5" max="5" width="8.88671875" style="63"/>
    <col min="6" max="6" width="14.5546875" style="63" bestFit="1" customWidth="1"/>
    <col min="7" max="7" width="9.7773437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33" t="s">
        <v>68</v>
      </c>
      <c r="B3" s="423">
        <v>0.6</v>
      </c>
      <c r="C3" s="423"/>
      <c r="D3" s="424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2</v>
      </c>
      <c r="D5" s="104">
        <v>3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4</v>
      </c>
      <c r="B6" s="106">
        <f>(((SQRT($B$5)*$B$3)/SQRT(3))*60000)/($A$6*$B$16)</f>
        <v>207.84609690826528</v>
      </c>
      <c r="C6" s="106">
        <f>(((SQRT($C$5)*$B$3)/SQRT(3))*60000)/($A$6*$B$16)</f>
        <v>293.9387691339814</v>
      </c>
      <c r="D6" s="106">
        <f>(((SQRT($D$5)*$B$3)/SQRT(3))*60000)/($A$6*$B$16)</f>
        <v>360</v>
      </c>
      <c r="F6" s="107"/>
      <c r="G6" s="107"/>
      <c r="H6" s="108"/>
      <c r="I6" s="109" t="str">
        <f>IF(H6="","","bis")</f>
        <v/>
      </c>
      <c r="J6" s="110"/>
      <c r="K6" s="111">
        <f>(((SQRT($H6)*$B$3)/SQRT(3))*60000)/($B$12*$B$16)</f>
        <v>0</v>
      </c>
      <c r="L6" s="109" t="str">
        <f>IF(K6="","","bis")</f>
        <v>bis</v>
      </c>
      <c r="M6" s="112">
        <f>(((SQRT($J6)*$B$3)/SQRT(3))*60000)/($B$12*$B$16)</f>
        <v>0</v>
      </c>
      <c r="N6" s="110"/>
      <c r="O6" s="109" t="str">
        <f>IF(N6="","","bis")</f>
        <v/>
      </c>
      <c r="P6" s="110"/>
      <c r="Q6" s="111">
        <f>(((SQRT($N6)*$B$3)/SQRT(3))*60000)/($B$12*$B$16)</f>
        <v>0</v>
      </c>
      <c r="R6" s="109" t="str">
        <f>IF(Q6="","","bis")</f>
        <v>bis</v>
      </c>
      <c r="S6" s="112">
        <f>(((SQRT($P6)*$B$3)/SQRT(3))*60000)/($B$12*$B$16)</f>
        <v>0</v>
      </c>
      <c r="T6" s="108"/>
      <c r="U6" s="109" t="str">
        <f>IF(T6="","","bis")</f>
        <v/>
      </c>
      <c r="V6" s="110"/>
      <c r="W6" s="111">
        <f>(((SQRT($T6)*$B$3)/SQRT(3))*60000)/($B$12*$B$16)</f>
        <v>0</v>
      </c>
      <c r="X6" s="109" t="str">
        <f>IF(W6="","","bis")</f>
        <v>bis</v>
      </c>
      <c r="Y6" s="112">
        <f>(((SQRT($V6)*$B$3)/SQRT(3))*60000)/($B$12*$B$16)</f>
        <v>0</v>
      </c>
      <c r="Z6" s="113"/>
      <c r="AA6" s="109" t="str">
        <f>IF(Z6="","","bis")</f>
        <v/>
      </c>
      <c r="AB6" s="114"/>
    </row>
    <row r="7" spans="1:28" ht="18.75" thickBot="1" x14ac:dyDescent="0.3">
      <c r="A7" s="135">
        <v>5</v>
      </c>
      <c r="B7" s="106">
        <f>(((SQRT($B$5)*$B$3)/SQRT(3))*60000)/($A$7*$B$16)</f>
        <v>166.27687752661222</v>
      </c>
      <c r="C7" s="106">
        <f>(((SQRT($C$5)*$B$3)/SQRT(3))*60000)/($A$7*$B$16)</f>
        <v>235.15101530718513</v>
      </c>
      <c r="D7" s="106">
        <f>(((SQRT($D$5)*$B$3)/SQRT(3))*60000)/($A$7*$B$16)</f>
        <v>288</v>
      </c>
      <c r="F7" s="107"/>
      <c r="G7" s="107"/>
      <c r="H7" s="108"/>
      <c r="I7" s="109" t="str">
        <f>IF(H7="","","bis")</f>
        <v/>
      </c>
      <c r="J7" s="112"/>
      <c r="K7" s="111">
        <f>(((SQRT($H7)*$B$3)/SQRT(3))*60000)/($B$12*$B$16)</f>
        <v>0</v>
      </c>
      <c r="L7" s="109" t="str">
        <f>IF(K7="","","bis")</f>
        <v>bis</v>
      </c>
      <c r="M7" s="112">
        <f>(((SQRT($J7)*$B$3)/SQRT(3))*60000)/($B$12*$B$16)</f>
        <v>0</v>
      </c>
      <c r="N7" s="111"/>
      <c r="O7" s="109" t="str">
        <f>IF(N7="","","bis")</f>
        <v/>
      </c>
      <c r="P7" s="112"/>
      <c r="Q7" s="111">
        <f>(((SQRT($N7)*$B$3)/SQRT(3))*60000)/($B$12*$B$16)</f>
        <v>0</v>
      </c>
      <c r="R7" s="109" t="str">
        <f>IF(Q7="","","bis")</f>
        <v>bis</v>
      </c>
      <c r="S7" s="112">
        <f>(((SQRT($P7)*$B$3)/SQRT(3))*60000)/($B$12*$B$16)</f>
        <v>0</v>
      </c>
      <c r="T7" s="111"/>
      <c r="U7" s="109" t="str">
        <f>IF(T7="","","bis")</f>
        <v/>
      </c>
      <c r="V7" s="112"/>
      <c r="W7" s="111">
        <f>(((SQRT($T7)*$B$3)/SQRT(3))*60000)/($B$12*$B$16)</f>
        <v>0</v>
      </c>
      <c r="X7" s="109" t="str">
        <f>IF(W7="","","bis")</f>
        <v>bis</v>
      </c>
      <c r="Y7" s="112">
        <f>(((SQRT($V7)*$B$3)/SQRT(3))*60000)/($B$12*$B$16)</f>
        <v>0</v>
      </c>
      <c r="Z7" s="113"/>
      <c r="AA7" s="109" t="str">
        <f>IF(Z7="","","bis")</f>
        <v/>
      </c>
      <c r="AB7" s="114"/>
    </row>
    <row r="8" spans="1:28" ht="18.75" thickBot="1" x14ac:dyDescent="0.3">
      <c r="A8" s="135">
        <v>6</v>
      </c>
      <c r="B8" s="106">
        <f>(((SQRT($B$5)*$B$3)/SQRT(3))*60000)/($A$8*$B$16)</f>
        <v>138.5640646055102</v>
      </c>
      <c r="C8" s="106">
        <f>(((SQRT($C$5)*$B$3)/SQRT(3))*60000)/($A$8*$B$16)</f>
        <v>195.95917942265427</v>
      </c>
      <c r="D8" s="106">
        <f>(((SQRT($D$5)*$B$3)/SQRT(3))*60000)/($A$8*$B$16)</f>
        <v>240</v>
      </c>
      <c r="F8" s="107"/>
      <c r="G8" s="107"/>
      <c r="H8" s="108"/>
      <c r="I8" s="109" t="str">
        <f>IF(H8="","","bis")</f>
        <v/>
      </c>
      <c r="J8" s="112"/>
      <c r="K8" s="111">
        <f>(((SQRT($H8)*$B$3)/SQRT(3))*60000)/($B$12*$B$16)</f>
        <v>0</v>
      </c>
      <c r="L8" s="109" t="str">
        <f>IF(K8="","","bis")</f>
        <v>bis</v>
      </c>
      <c r="M8" s="112">
        <f>(((SQRT($J8)*$B$3)/SQRT(3))*60000)/($B$12*$B$16)</f>
        <v>0</v>
      </c>
      <c r="N8" s="111"/>
      <c r="O8" s="109" t="str">
        <f>IF(N8="","","bis")</f>
        <v/>
      </c>
      <c r="P8" s="112"/>
      <c r="Q8" s="111">
        <f>(((SQRT($N8)*$B$3)/SQRT(3))*60000)/($B$12*$B$16)</f>
        <v>0</v>
      </c>
      <c r="R8" s="109" t="str">
        <f>IF(Q8="","","bis")</f>
        <v>bis</v>
      </c>
      <c r="S8" s="112">
        <f>(((SQRT($P8)*$B$3)/SQRT(3))*60000)/($B$12*$B$16)</f>
        <v>0</v>
      </c>
      <c r="T8" s="111"/>
      <c r="U8" s="109" t="str">
        <f>IF(T8="","","bis")</f>
        <v/>
      </c>
      <c r="V8" s="112"/>
      <c r="W8" s="111">
        <f>(((SQRT($T8)*$B$3)/SQRT(3))*60000)/($B$12*$B$16)</f>
        <v>0</v>
      </c>
      <c r="X8" s="109" t="str">
        <f>IF(W8="","","bis")</f>
        <v>bis</v>
      </c>
      <c r="Y8" s="112">
        <f>(((SQRT($V8)*$B$3)/SQRT(3))*60000)/($B$12*$B$16)</f>
        <v>0</v>
      </c>
      <c r="Z8" s="113"/>
      <c r="AA8" s="109" t="str">
        <f>IF(Z8="","","bis")</f>
        <v/>
      </c>
      <c r="AB8" s="114"/>
    </row>
    <row r="9" spans="1:28" ht="18.75" thickBot="1" x14ac:dyDescent="0.3">
      <c r="A9" s="135">
        <v>7</v>
      </c>
      <c r="B9" s="106">
        <f>(((SQRT($B$5)*$B$3)/SQRT(3))*60000)/($A$9*$B$16)</f>
        <v>118.76919823329445</v>
      </c>
      <c r="C9" s="106">
        <f>(((SQRT($C$5)*$B$3)/SQRT(3))*60000)/($A$9*$B$16)</f>
        <v>167.96501093370367</v>
      </c>
      <c r="D9" s="106">
        <f>(((SQRT($D$5)*$B$3)/SQRT(3))*60000)/($A$9*$B$16)</f>
        <v>205.71428571428572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(((SQRT($H9)*$B$3)/SQRT(3))*60000)/($B$12*$B$16)</f>
        <v>0</v>
      </c>
      <c r="L9" s="109" t="str">
        <f>IF(K9="","","bis")</f>
        <v>bis</v>
      </c>
      <c r="M9" s="112">
        <f>(((SQRT($J9)*$B$3)/SQRT(3))*60000)/($B$12*$B$16)</f>
        <v>0</v>
      </c>
      <c r="N9" s="111"/>
      <c r="O9" s="109" t="str">
        <f>IF(N9="","","bis")</f>
        <v/>
      </c>
      <c r="P9" s="112"/>
      <c r="Q9" s="111">
        <f>(((SQRT($N9)*$B$3)/SQRT(3))*60000)/($B$12*$B$16)</f>
        <v>0</v>
      </c>
      <c r="R9" s="109" t="str">
        <f>IF(Q9="","","bis")</f>
        <v>bis</v>
      </c>
      <c r="S9" s="112">
        <f>(((SQRT($P9)*$B$3)/SQRT(3))*60000)/($B$12*$B$16)</f>
        <v>0</v>
      </c>
      <c r="T9" s="111"/>
      <c r="U9" s="109" t="str">
        <f>IF(T9="","","bis")</f>
        <v/>
      </c>
      <c r="V9" s="110"/>
      <c r="W9" s="111">
        <f>(((SQRT($T9)*$B$3)/SQRT(3))*60000)/($B$12*$B$16)</f>
        <v>0</v>
      </c>
      <c r="X9" s="109" t="str">
        <f>IF(W9="","","bis")</f>
        <v>bis</v>
      </c>
      <c r="Y9" s="112">
        <f>(((SQRT($V9)*$B$3)/SQRT(3))*60000)/($B$12*$B$16)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8</v>
      </c>
      <c r="B10" s="115">
        <f>(((SQRT($B$5)*$B$3)/SQRT(3))*60000)/($A$10*$B$16)</f>
        <v>103.92304845413264</v>
      </c>
      <c r="C10" s="115">
        <f>(((SQRT($C$5)*$B$3)/SQRT(3))*60000)/($A$10*$B$16)</f>
        <v>146.9693845669907</v>
      </c>
      <c r="D10" s="115">
        <f>(((SQRT($D$5)*$B$3)/SQRT(3))*60000)/($A$10*$B$16)</f>
        <v>180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(((SQRT($H10)*$B$3)/SQRT(3))*60000)/($B$12*$B$16)</f>
        <v>0</v>
      </c>
      <c r="L10" s="109" t="str">
        <f>IF(K10="","","bis")</f>
        <v>bis</v>
      </c>
      <c r="M10" s="112">
        <f>(((SQRT($J10)*$B$3)/SQRT(3))*60000)/($B$12*$B$16)</f>
        <v>0</v>
      </c>
      <c r="N10" s="111"/>
      <c r="O10" s="109" t="str">
        <f>IF(N10="","","bis")</f>
        <v/>
      </c>
      <c r="P10" s="112"/>
      <c r="Q10" s="111">
        <f>(((SQRT($N10)*$B$3)/SQRT(3))*60000)/($B$12*$B$16)</f>
        <v>0</v>
      </c>
      <c r="R10" s="109" t="str">
        <f>IF(Q10="","","bis")</f>
        <v>bis</v>
      </c>
      <c r="S10" s="112">
        <f>(((SQRT($P10)*$B$3)/SQRT(3))*60000)/($B$12*$B$16)</f>
        <v>0</v>
      </c>
      <c r="T10" s="111"/>
      <c r="U10" s="109" t="str">
        <f>IF(T10="","","bis")</f>
        <v/>
      </c>
      <c r="V10" s="112"/>
      <c r="W10" s="111">
        <f>(((SQRT($T10)*$B$3)/SQRT(3))*60000)/($B$12*$B$16)</f>
        <v>0</v>
      </c>
      <c r="X10" s="109" t="str">
        <f>IF(W10="","","bis")</f>
        <v>bis</v>
      </c>
      <c r="Y10" s="112">
        <f>(((SQRT($V10)*$B$3)/SQRT(3))*60000)/($B$12*$B$16)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300</v>
      </c>
      <c r="C12" s="66"/>
      <c r="D12" s="421"/>
      <c r="E12" s="417"/>
      <c r="F12" s="123"/>
      <c r="G12" s="119"/>
    </row>
    <row r="13" spans="1:28" ht="18.75" thickBot="1" x14ac:dyDescent="0.3">
      <c r="A13" s="117" t="s">
        <v>61</v>
      </c>
      <c r="B13" s="120">
        <f>POWER(((SQRT(3)*$C$13)/$B$3),2)</f>
        <v>3.255208333333333</v>
      </c>
      <c r="C13" s="121">
        <f>(B12*B14*B16)/60000</f>
        <v>0.625</v>
      </c>
      <c r="D13" s="422"/>
      <c r="E13" s="422"/>
      <c r="F13" s="123"/>
      <c r="G13" s="119"/>
    </row>
    <row r="14" spans="1:28" ht="18.75" thickBot="1" x14ac:dyDescent="0.3">
      <c r="A14" s="117" t="s">
        <v>62</v>
      </c>
      <c r="B14" s="78">
        <v>5</v>
      </c>
      <c r="D14" s="127"/>
      <c r="F14" s="137"/>
      <c r="G14" s="119"/>
    </row>
    <row r="15" spans="1:28" ht="18.75" thickBot="1" x14ac:dyDescent="0.3">
      <c r="A15" s="117"/>
      <c r="B15" s="123"/>
      <c r="C15" s="124"/>
      <c r="D15" s="421"/>
      <c r="E15" s="421"/>
      <c r="F15" s="138"/>
      <c r="G15" s="138"/>
    </row>
    <row r="16" spans="1:28" ht="18.75" thickBot="1" x14ac:dyDescent="0.3">
      <c r="A16" s="125" t="s">
        <v>63</v>
      </c>
      <c r="B16" s="126">
        <v>25</v>
      </c>
    </row>
    <row r="17" spans="1:3" ht="18.75" thickBot="1" x14ac:dyDescent="0.3">
      <c r="A17" s="122" t="s">
        <v>64</v>
      </c>
      <c r="B17" s="126">
        <v>75</v>
      </c>
    </row>
    <row r="18" spans="1:3" ht="18.75" thickBot="1" x14ac:dyDescent="0.3">
      <c r="A18" s="127" t="s">
        <v>65</v>
      </c>
      <c r="B18" s="128">
        <f>(B16*100)/B17</f>
        <v>33.333333333333336</v>
      </c>
    </row>
    <row r="19" spans="1:3" ht="18.75" thickBot="1" x14ac:dyDescent="0.3">
      <c r="A19" s="125" t="s">
        <v>66</v>
      </c>
      <c r="B19" s="129">
        <v>3</v>
      </c>
      <c r="C19" s="130">
        <f>(B16/B17)*B19</f>
        <v>1</v>
      </c>
    </row>
    <row r="20" spans="1:3" ht="18.75" thickBot="1" x14ac:dyDescent="0.3">
      <c r="A20" s="63" t="s">
        <v>67</v>
      </c>
      <c r="B20" s="131">
        <v>3</v>
      </c>
      <c r="C20" s="132">
        <f>(B20*C19)</f>
        <v>3</v>
      </c>
    </row>
    <row r="21" spans="1:3" ht="18.75" thickBot="1" x14ac:dyDescent="0.3">
      <c r="A21" s="63" t="s">
        <v>80</v>
      </c>
      <c r="C21" s="151">
        <f>(B12*C19)/1</f>
        <v>300</v>
      </c>
    </row>
  </sheetData>
  <sheetProtection algorithmName="SHA-512" hashValue="PyLQapVce7CiJzP9DGuddmkWq44mhxR9+b0mIky+iVCdFAz2GaDdT/uxiEXZ9ybI9pqrds4MEgnUr1e2ME9Xqg==" saltValue="LLIOfjtajMm17pjkI6xeqg==" spinCount="100000" sheet="1" objects="1" scenarios="1"/>
  <mergeCells count="14">
    <mergeCell ref="Z4:AB5"/>
    <mergeCell ref="H5:J5"/>
    <mergeCell ref="K5:M5"/>
    <mergeCell ref="N5:P5"/>
    <mergeCell ref="Q5:S5"/>
    <mergeCell ref="T5:V5"/>
    <mergeCell ref="W5:Y5"/>
    <mergeCell ref="N4:S4"/>
    <mergeCell ref="T4:Y4"/>
    <mergeCell ref="D12:E12"/>
    <mergeCell ref="D13:E13"/>
    <mergeCell ref="D15:E15"/>
    <mergeCell ref="B3:D3"/>
    <mergeCell ref="H4:M4"/>
  </mergeCells>
  <conditionalFormatting sqref="B6">
    <cfRule type="cellIs" dxfId="89" priority="15" operator="greaterThan">
      <formula>$B$12</formula>
    </cfRule>
  </conditionalFormatting>
  <conditionalFormatting sqref="C6">
    <cfRule type="cellIs" dxfId="88" priority="14" operator="greaterThan">
      <formula>$B$12</formula>
    </cfRule>
  </conditionalFormatting>
  <conditionalFormatting sqref="D6">
    <cfRule type="cellIs" dxfId="87" priority="13" operator="greaterThan">
      <formula>$B$12</formula>
    </cfRule>
  </conditionalFormatting>
  <conditionalFormatting sqref="B7">
    <cfRule type="cellIs" dxfId="86" priority="12" operator="greaterThan">
      <formula>$B$12</formula>
    </cfRule>
  </conditionalFormatting>
  <conditionalFormatting sqref="C7">
    <cfRule type="cellIs" dxfId="85" priority="11" operator="greaterThan">
      <formula>$B$12</formula>
    </cfRule>
  </conditionalFormatting>
  <conditionalFormatting sqref="D7">
    <cfRule type="cellIs" dxfId="84" priority="10" operator="greaterThan">
      <formula>$B$12</formula>
    </cfRule>
  </conditionalFormatting>
  <conditionalFormatting sqref="B8">
    <cfRule type="cellIs" dxfId="83" priority="9" operator="greaterThan">
      <formula>$B$12</formula>
    </cfRule>
  </conditionalFormatting>
  <conditionalFormatting sqref="C8">
    <cfRule type="cellIs" dxfId="82" priority="8" operator="greaterThan">
      <formula>$B$12</formula>
    </cfRule>
  </conditionalFormatting>
  <conditionalFormatting sqref="D8">
    <cfRule type="cellIs" dxfId="81" priority="7" operator="greaterThan">
      <formula>$B$12</formula>
    </cfRule>
  </conditionalFormatting>
  <conditionalFormatting sqref="B9">
    <cfRule type="cellIs" dxfId="80" priority="6" operator="greaterThan">
      <formula>$B$12</formula>
    </cfRule>
  </conditionalFormatting>
  <conditionalFormatting sqref="B10">
    <cfRule type="cellIs" dxfId="79" priority="5" operator="greaterThan">
      <formula>$B$12</formula>
    </cfRule>
  </conditionalFormatting>
  <conditionalFormatting sqref="C9">
    <cfRule type="cellIs" dxfId="78" priority="4" operator="greaterThan">
      <formula>$B$12</formula>
    </cfRule>
  </conditionalFormatting>
  <conditionalFormatting sqref="D9">
    <cfRule type="cellIs" dxfId="77" priority="3" operator="greaterThan">
      <formula>$B$12</formula>
    </cfRule>
  </conditionalFormatting>
  <conditionalFormatting sqref="C10">
    <cfRule type="cellIs" dxfId="76" priority="2" operator="greaterThan">
      <formula>$B$12</formula>
    </cfRule>
  </conditionalFormatting>
  <conditionalFormatting sqref="D10">
    <cfRule type="cellIs" dxfId="75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14.44140625" style="63" bestFit="1" customWidth="1"/>
    <col min="4" max="4" width="9.77734375" style="63" bestFit="1" customWidth="1"/>
    <col min="5" max="5" width="8.88671875" style="63"/>
    <col min="6" max="6" width="14.5546875" style="63" bestFit="1" customWidth="1"/>
    <col min="7" max="7" width="16.8867187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39" t="s">
        <v>69</v>
      </c>
      <c r="B3" s="401">
        <v>0.8</v>
      </c>
      <c r="C3" s="401"/>
      <c r="D3" s="402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2</v>
      </c>
      <c r="D5" s="104">
        <v>3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4</v>
      </c>
      <c r="B6" s="106">
        <f>(((SQRT($B$5)*$B$3)/SQRT(3))*60000)/($A$6*$B$16)</f>
        <v>230.94010767585033</v>
      </c>
      <c r="C6" s="106">
        <f>(((SQRT($C$5)*$B$3)/SQRT(3))*60000)/($A$6*$B$16)</f>
        <v>326.5986323710905</v>
      </c>
      <c r="D6" s="106">
        <f>(((SQRT($D$5)*$B$3)/SQRT(3))*60000)/($A$6*$B$16)</f>
        <v>400</v>
      </c>
      <c r="F6" s="107" t="str">
        <f>_1435b</f>
        <v>Lechler</v>
      </c>
      <c r="G6" s="107" t="str">
        <f>_1435c</f>
        <v>ES 80 02E MS</v>
      </c>
      <c r="H6" s="108">
        <f>_1435h</f>
        <v>1.5</v>
      </c>
      <c r="I6" s="109" t="str">
        <f>IF(H6="","","bis")</f>
        <v>bis</v>
      </c>
      <c r="J6" s="110">
        <f>_1435i</f>
        <v>3</v>
      </c>
      <c r="K6" s="111">
        <f>(((SQRT($H6)*$B$3)/SQRT(3))*60000)/($B$12*$B$16)</f>
        <v>3.771236166328253</v>
      </c>
      <c r="L6" s="109" t="str">
        <f>IF(K6="","","bis")</f>
        <v>bis</v>
      </c>
      <c r="M6" s="112">
        <f>(((SQRT($J6)*$B$3)/SQRT(3))*60000)/($B$12*$B$16)</f>
        <v>5.333333333333333</v>
      </c>
      <c r="N6" s="110">
        <f>_1435j</f>
        <v>1.5</v>
      </c>
      <c r="O6" s="109" t="str">
        <f>IF(N6="","","bis")</f>
        <v>bis</v>
      </c>
      <c r="P6" s="110">
        <f>_1435k</f>
        <v>3</v>
      </c>
      <c r="Q6" s="111">
        <f>(((SQRT($N6)*$B$3)/SQRT(3))*60000)/($B$12*$B$16)</f>
        <v>3.771236166328253</v>
      </c>
      <c r="R6" s="109" t="str">
        <f>IF(Q6="","","bis")</f>
        <v>bis</v>
      </c>
      <c r="S6" s="112">
        <f>(((SQRT($P6)*$B$3)/SQRT(3))*60000)/($B$12*$B$16)</f>
        <v>5.333333333333333</v>
      </c>
      <c r="T6" s="108">
        <f>_1435l</f>
        <v>1.5</v>
      </c>
      <c r="U6" s="109" t="str">
        <f>IF(T6="","","bis")</f>
        <v>bis</v>
      </c>
      <c r="V6" s="110">
        <f>_1435m</f>
        <v>3</v>
      </c>
      <c r="W6" s="111">
        <f>(((SQRT($T6)*$B$3)/SQRT(3))*60000)/($B$12*$B$16)</f>
        <v>3.771236166328253</v>
      </c>
      <c r="X6" s="109" t="str">
        <f>IF(W6="","","bis")</f>
        <v>bis</v>
      </c>
      <c r="Y6" s="112">
        <f>(((SQRT($V6)*$B$3)/SQRT(3))*60000)/($B$12*$B$16)</f>
        <v>5.333333333333333</v>
      </c>
      <c r="Z6" s="113">
        <f>_1435f</f>
        <v>1.5</v>
      </c>
      <c r="AA6" s="109" t="str">
        <f>IF(Z6="","","bis")</f>
        <v>bis</v>
      </c>
      <c r="AB6" s="114">
        <f>_1435g</f>
        <v>3</v>
      </c>
    </row>
    <row r="7" spans="1:28" ht="18.75" thickBot="1" x14ac:dyDescent="0.3">
      <c r="A7" s="135">
        <v>5</v>
      </c>
      <c r="B7" s="106">
        <f>(((SQRT($B$5)*$B$3)/SQRT(3))*60000)/($A$7*$B$16)</f>
        <v>184.75208614068026</v>
      </c>
      <c r="C7" s="106">
        <f>(((SQRT($C$5)*$B$3)/SQRT(3))*60000)/($A$7*$B$16)</f>
        <v>261.2789058968724</v>
      </c>
      <c r="D7" s="106">
        <f>(((SQRT($D$5)*$B$3)/SQRT(3))*60000)/($A$7*$B$16)</f>
        <v>320</v>
      </c>
      <c r="F7" s="107" t="str">
        <f>_1436b</f>
        <v>Lechler</v>
      </c>
      <c r="G7" s="107" t="str">
        <f>_1436c</f>
        <v>ES 90 02E POM</v>
      </c>
      <c r="H7" s="108">
        <f>_1436h</f>
        <v>1.5</v>
      </c>
      <c r="I7" s="109" t="str">
        <f>IF(H7="","","bis")</f>
        <v>bis</v>
      </c>
      <c r="J7" s="110">
        <f>_1436i</f>
        <v>3</v>
      </c>
      <c r="K7" s="111">
        <f>(((SQRT($H7)*$B$3)/SQRT(3))*60000)/($B$12*$B$16)</f>
        <v>3.771236166328253</v>
      </c>
      <c r="L7" s="109" t="str">
        <f>IF(K7="","","bis")</f>
        <v>bis</v>
      </c>
      <c r="M7" s="112">
        <f>(((SQRT($J7)*$B$3)/SQRT(3))*60000)/($B$12*$B$16)</f>
        <v>5.333333333333333</v>
      </c>
      <c r="N7" s="110">
        <f>_1436j</f>
        <v>1.5</v>
      </c>
      <c r="O7" s="109" t="str">
        <f>IF(N7="","","bis")</f>
        <v>bis</v>
      </c>
      <c r="P7" s="110">
        <f>_1436k</f>
        <v>3</v>
      </c>
      <c r="Q7" s="111">
        <f>(((SQRT($N7)*$B$3)/SQRT(3))*60000)/($B$12*$B$16)</f>
        <v>3.771236166328253</v>
      </c>
      <c r="R7" s="109" t="str">
        <f>IF(Q7="","","bis")</f>
        <v>bis</v>
      </c>
      <c r="S7" s="112">
        <f>(((SQRT($P7)*$B$3)/SQRT(3))*60000)/($B$12*$B$16)</f>
        <v>5.333333333333333</v>
      </c>
      <c r="T7" s="108">
        <f>_1436l</f>
        <v>1.5</v>
      </c>
      <c r="U7" s="109" t="str">
        <f>IF(T7="","","bis")</f>
        <v>bis</v>
      </c>
      <c r="V7" s="110">
        <f>_1436m</f>
        <v>3</v>
      </c>
      <c r="W7" s="111">
        <f>(((SQRT($T7)*$B$3)/SQRT(3))*60000)/($B$12*$B$16)</f>
        <v>3.771236166328253</v>
      </c>
      <c r="X7" s="109" t="str">
        <f>IF(W7="","","bis")</f>
        <v>bis</v>
      </c>
      <c r="Y7" s="112">
        <f>(((SQRT($V7)*$B$3)/SQRT(3))*60000)/($B$12*$B$16)</f>
        <v>5.333333333333333</v>
      </c>
      <c r="Z7" s="113">
        <f>_1436f</f>
        <v>1.5</v>
      </c>
      <c r="AA7" s="109" t="str">
        <f>IF(Z7="","","bis")</f>
        <v>bis</v>
      </c>
      <c r="AB7" s="114">
        <f>_1436g</f>
        <v>3</v>
      </c>
    </row>
    <row r="8" spans="1:28" ht="18.75" thickBot="1" x14ac:dyDescent="0.3">
      <c r="A8" s="135">
        <v>6</v>
      </c>
      <c r="B8" s="106">
        <f>(((SQRT($B$5)*$B$3)/SQRT(3))*60000)/($A$8*$B$16)</f>
        <v>153.96007178390022</v>
      </c>
      <c r="C8" s="106">
        <f>(((SQRT($C$5)*$B$3)/SQRT(3))*60000)/($A$8*$B$16)</f>
        <v>217.73242158072702</v>
      </c>
      <c r="D8" s="106">
        <f>(((SQRT($D$5)*$B$3)/SQRT(3))*60000)/($A$8*$B$16)</f>
        <v>266.66666666666669</v>
      </c>
      <c r="F8" s="107" t="str">
        <f>_2242b</f>
        <v>Agrotop</v>
      </c>
      <c r="G8" s="107" t="str">
        <f>_2242c</f>
        <v>RowFan 40-02E</v>
      </c>
      <c r="H8" s="108">
        <f>_2242h</f>
        <v>2</v>
      </c>
      <c r="I8" s="109" t="str">
        <f>IF(H8="","","bis")</f>
        <v>bis</v>
      </c>
      <c r="J8" s="112">
        <f>_2242i</f>
        <v>4</v>
      </c>
      <c r="K8" s="111">
        <f>(((SQRT($H8)*$B$3)/SQRT(3))*60000)/($B$12*$B$16)</f>
        <v>4.3546484316145397</v>
      </c>
      <c r="L8" s="109" t="str">
        <f>IF(K8="","","bis")</f>
        <v>bis</v>
      </c>
      <c r="M8" s="112">
        <f>(((SQRT($J8)*$B$3)/SQRT(3))*60000)/($B$12*$B$16)</f>
        <v>6.1584028713560084</v>
      </c>
      <c r="N8" s="111">
        <f>_2242j</f>
        <v>2</v>
      </c>
      <c r="O8" s="109" t="str">
        <f>IF(N8="","","bis")</f>
        <v>bis</v>
      </c>
      <c r="P8" s="112">
        <f>_2242k</f>
        <v>4</v>
      </c>
      <c r="Q8" s="111">
        <f>(((SQRT($N8)*$B$3)/SQRT(3))*60000)/($B$12*$B$16)</f>
        <v>4.3546484316145397</v>
      </c>
      <c r="R8" s="109" t="str">
        <f>IF(Q8="","","bis")</f>
        <v>bis</v>
      </c>
      <c r="S8" s="112">
        <f>(((SQRT($P8)*$B$3)/SQRT(3))*60000)/($B$12*$B$16)</f>
        <v>6.1584028713560084</v>
      </c>
      <c r="T8" s="111">
        <f>_2242l</f>
        <v>2</v>
      </c>
      <c r="U8" s="109" t="str">
        <f>IF(T8="","","bis")</f>
        <v>bis</v>
      </c>
      <c r="V8" s="112">
        <f>_2242m</f>
        <v>4</v>
      </c>
      <c r="W8" s="111">
        <f>(((SQRT($T8)*$B$3)/SQRT(3))*60000)/($B$12*$B$16)</f>
        <v>4.3546484316145397</v>
      </c>
      <c r="X8" s="109" t="str">
        <f>IF(W8="","","bis")</f>
        <v>bis</v>
      </c>
      <c r="Y8" s="112">
        <f>(((SQRT($V8)*$B$3)/SQRT(3))*60000)/($B$12*$B$16)</f>
        <v>6.1584028713560084</v>
      </c>
      <c r="Z8" s="113">
        <f>_2242f</f>
        <v>2</v>
      </c>
      <c r="AA8" s="109" t="str">
        <f>IF(Z8="","","bis")</f>
        <v>bis</v>
      </c>
      <c r="AB8" s="114">
        <f>_2242g</f>
        <v>6</v>
      </c>
    </row>
    <row r="9" spans="1:28" ht="18.75" thickBot="1" x14ac:dyDescent="0.3">
      <c r="A9" s="135">
        <v>7</v>
      </c>
      <c r="B9" s="106">
        <f>(((SQRT($B$5)*$B$3)/SQRT(3))*60000)/($A$9*$B$16)</f>
        <v>131.9657758147716</v>
      </c>
      <c r="C9" s="106">
        <f>(((SQRT($C$5)*$B$3)/SQRT(3))*60000)/($A$9*$B$16)</f>
        <v>186.62778992633744</v>
      </c>
      <c r="D9" s="106">
        <f>(((SQRT($D$5)*$B$3)/SQRT(3))*60000)/($A$9*$B$16)</f>
        <v>228.57142857142858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(((SQRT($H9)*$B$3)/SQRT(3))*60000)/($B$12*$B$16)</f>
        <v>0</v>
      </c>
      <c r="L9" s="109" t="str">
        <f>IF(K9="","","bis")</f>
        <v>bis</v>
      </c>
      <c r="M9" s="112">
        <f>(((SQRT($J9)*$B$3)/SQRT(3))*60000)/($B$12*$B$16)</f>
        <v>0</v>
      </c>
      <c r="N9" s="111"/>
      <c r="O9" s="109" t="str">
        <f>IF(N9="","","bis")</f>
        <v/>
      </c>
      <c r="P9" s="112"/>
      <c r="Q9" s="111">
        <f>(((SQRT($N9)*$B$3)/SQRT(3))*60000)/($B$12*$B$16)</f>
        <v>0</v>
      </c>
      <c r="R9" s="109" t="str">
        <f>IF(Q9="","","bis")</f>
        <v>bis</v>
      </c>
      <c r="S9" s="112">
        <f>(((SQRT($P9)*$B$3)/SQRT(3))*60000)/($B$12*$B$16)</f>
        <v>0</v>
      </c>
      <c r="T9" s="111"/>
      <c r="U9" s="109" t="str">
        <f>IF(T9="","","bis")</f>
        <v/>
      </c>
      <c r="V9" s="110"/>
      <c r="W9" s="111">
        <f>(((SQRT($T9)*$B$3)/SQRT(3))*60000)/($B$12*$B$16)</f>
        <v>0</v>
      </c>
      <c r="X9" s="109" t="str">
        <f>IF(W9="","","bis")</f>
        <v>bis</v>
      </c>
      <c r="Y9" s="112">
        <f>(((SQRT($V9)*$B$3)/SQRT(3))*60000)/($B$12*$B$16)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8</v>
      </c>
      <c r="B10" s="115">
        <f>(((SQRT($B$5)*$B$3)/SQRT(3))*60000)/($A$10*$B$16)</f>
        <v>115.47005383792516</v>
      </c>
      <c r="C10" s="115">
        <f>(((SQRT($C$5)*$B$3)/SQRT(3))*60000)/($A$10*$B$16)</f>
        <v>163.29931618554525</v>
      </c>
      <c r="D10" s="115">
        <f>(((SQRT($D$5)*$B$3)/SQRT(3))*60000)/($A$10*$B$16)</f>
        <v>200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(((SQRT($H10)*$B$3)/SQRT(3))*60000)/($B$12*$B$16)</f>
        <v>0</v>
      </c>
      <c r="L10" s="109" t="str">
        <f>IF(K10="","","bis")</f>
        <v>bis</v>
      </c>
      <c r="M10" s="112">
        <f>(((SQRT($J10)*$B$3)/SQRT(3))*60000)/($B$12*$B$16)</f>
        <v>0</v>
      </c>
      <c r="N10" s="111"/>
      <c r="O10" s="109" t="str">
        <f>IF(N10="","","bis")</f>
        <v/>
      </c>
      <c r="P10" s="112"/>
      <c r="Q10" s="111">
        <f>(((SQRT($N10)*$B$3)/SQRT(3))*60000)/($B$12*$B$16)</f>
        <v>0</v>
      </c>
      <c r="R10" s="109" t="str">
        <f>IF(Q10="","","bis")</f>
        <v>bis</v>
      </c>
      <c r="S10" s="112">
        <f>(((SQRT($P10)*$B$3)/SQRT(3))*60000)/($B$12*$B$16)</f>
        <v>0</v>
      </c>
      <c r="T10" s="111"/>
      <c r="U10" s="109" t="str">
        <f>IF(T10="","","bis")</f>
        <v/>
      </c>
      <c r="V10" s="112"/>
      <c r="W10" s="111">
        <f>(((SQRT($T10)*$B$3)/SQRT(3))*60000)/($B$12*$B$16)</f>
        <v>0</v>
      </c>
      <c r="X10" s="109" t="str">
        <f>IF(W10="","","bis")</f>
        <v>bis</v>
      </c>
      <c r="Y10" s="112">
        <f>(((SQRT($V10)*$B$3)/SQRT(3))*60000)/($B$12*$B$16)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300</v>
      </c>
      <c r="C12" s="66"/>
      <c r="D12" s="417"/>
      <c r="E12" s="417"/>
      <c r="F12" s="123"/>
      <c r="G12" s="119"/>
    </row>
    <row r="13" spans="1:28" ht="18.75" thickBot="1" x14ac:dyDescent="0.3">
      <c r="A13" s="117" t="s">
        <v>61</v>
      </c>
      <c r="B13" s="120">
        <f>POWER(((SQRT(3)*$C$13)/$B$3),2)</f>
        <v>2.63671875</v>
      </c>
      <c r="C13" s="121">
        <f>(B12*B14*B16)/60000</f>
        <v>0.75</v>
      </c>
      <c r="D13" s="418"/>
      <c r="E13" s="418"/>
      <c r="F13" s="123"/>
      <c r="G13" s="119"/>
    </row>
    <row r="14" spans="1:28" ht="18.75" thickBot="1" x14ac:dyDescent="0.3">
      <c r="A14" s="117" t="s">
        <v>62</v>
      </c>
      <c r="B14" s="78">
        <v>5</v>
      </c>
      <c r="D14" s="140"/>
      <c r="E14" s="119"/>
      <c r="F14" s="137"/>
      <c r="G14" s="119"/>
    </row>
    <row r="15" spans="1:28" ht="18.75" thickBot="1" x14ac:dyDescent="0.3">
      <c r="A15" s="117"/>
      <c r="B15" s="123"/>
      <c r="C15" s="124"/>
      <c r="D15" s="417"/>
      <c r="E15" s="417"/>
      <c r="F15" s="138"/>
      <c r="G15" s="138"/>
    </row>
    <row r="16" spans="1:28" ht="18.75" thickBot="1" x14ac:dyDescent="0.3">
      <c r="A16" s="125" t="s">
        <v>63</v>
      </c>
      <c r="B16" s="126">
        <v>30</v>
      </c>
    </row>
    <row r="17" spans="1:3" ht="18.75" thickBot="1" x14ac:dyDescent="0.3">
      <c r="A17" s="122" t="s">
        <v>64</v>
      </c>
      <c r="B17" s="126">
        <v>110</v>
      </c>
    </row>
    <row r="18" spans="1:3" ht="18.75" thickBot="1" x14ac:dyDescent="0.3">
      <c r="A18" s="127" t="s">
        <v>65</v>
      </c>
      <c r="B18" s="128">
        <f>(B16*100)/B17</f>
        <v>27.272727272727273</v>
      </c>
    </row>
    <row r="19" spans="1:3" ht="18.75" thickBot="1" x14ac:dyDescent="0.3">
      <c r="A19" s="125" t="s">
        <v>66</v>
      </c>
      <c r="B19" s="129">
        <v>2.4</v>
      </c>
      <c r="C19" s="130">
        <f>(B16/B17)*B19</f>
        <v>0.65454545454545443</v>
      </c>
    </row>
    <row r="20" spans="1:3" ht="18.75" thickBot="1" x14ac:dyDescent="0.3">
      <c r="A20" s="63" t="s">
        <v>67</v>
      </c>
      <c r="B20" s="131">
        <v>2</v>
      </c>
      <c r="C20" s="132">
        <f>(B20*C19)</f>
        <v>1.3090909090909089</v>
      </c>
    </row>
    <row r="21" spans="1:3" ht="18.75" thickBot="1" x14ac:dyDescent="0.3">
      <c r="A21" s="63" t="s">
        <v>80</v>
      </c>
      <c r="C21" s="151">
        <f>(B12*C19)/1</f>
        <v>196.36363636363632</v>
      </c>
    </row>
  </sheetData>
  <sheetProtection algorithmName="SHA-512" hashValue="ynb6ddjhRaPlElrs2o3aGDS1CdOwYV+9Ybuev2Nf4XxHTz9wGo7LvyF1lGTfgq915ruwzmtvuitECIr0nC5ycQ==" saltValue="XZ2BmXiHX7cp3co5O9Z5TA==" spinCount="100000" sheet="1" objects="1" scenarios="1"/>
  <mergeCells count="14">
    <mergeCell ref="Z4:AB5"/>
    <mergeCell ref="H5:J5"/>
    <mergeCell ref="K5:M5"/>
    <mergeCell ref="N5:P5"/>
    <mergeCell ref="Q5:S5"/>
    <mergeCell ref="T5:V5"/>
    <mergeCell ref="W5:Y5"/>
    <mergeCell ref="N4:S4"/>
    <mergeCell ref="T4:Y4"/>
    <mergeCell ref="D12:E12"/>
    <mergeCell ref="D13:E13"/>
    <mergeCell ref="D15:E15"/>
    <mergeCell ref="B3:D3"/>
    <mergeCell ref="H4:M4"/>
  </mergeCells>
  <conditionalFormatting sqref="C6">
    <cfRule type="cellIs" dxfId="74" priority="14" operator="greaterThan">
      <formula>$B$12</formula>
    </cfRule>
  </conditionalFormatting>
  <conditionalFormatting sqref="D6">
    <cfRule type="cellIs" dxfId="73" priority="13" operator="greaterThan">
      <formula>$B$12</formula>
    </cfRule>
  </conditionalFormatting>
  <conditionalFormatting sqref="B7">
    <cfRule type="cellIs" dxfId="72" priority="12" operator="greaterThan">
      <formula>$B$12</formula>
    </cfRule>
  </conditionalFormatting>
  <conditionalFormatting sqref="C7">
    <cfRule type="cellIs" dxfId="71" priority="11" operator="greaterThan">
      <formula>$B$12</formula>
    </cfRule>
  </conditionalFormatting>
  <conditionalFormatting sqref="D7">
    <cfRule type="cellIs" dxfId="70" priority="10" operator="greaterThan">
      <formula>$B$12</formula>
    </cfRule>
  </conditionalFormatting>
  <conditionalFormatting sqref="B8">
    <cfRule type="cellIs" dxfId="69" priority="9" operator="greaterThan">
      <formula>$B$12</formula>
    </cfRule>
  </conditionalFormatting>
  <conditionalFormatting sqref="C8">
    <cfRule type="cellIs" dxfId="68" priority="8" operator="greaterThan">
      <formula>$B$12</formula>
    </cfRule>
  </conditionalFormatting>
  <conditionalFormatting sqref="D8">
    <cfRule type="cellIs" dxfId="67" priority="7" operator="greaterThan">
      <formula>$B$12</formula>
    </cfRule>
  </conditionalFormatting>
  <conditionalFormatting sqref="B9">
    <cfRule type="cellIs" dxfId="66" priority="6" operator="greaterThan">
      <formula>$B$12</formula>
    </cfRule>
  </conditionalFormatting>
  <conditionalFormatting sqref="B10">
    <cfRule type="cellIs" dxfId="65" priority="5" operator="greaterThan">
      <formula>$B$12</formula>
    </cfRule>
  </conditionalFormatting>
  <conditionalFormatting sqref="C9">
    <cfRule type="cellIs" dxfId="64" priority="4" operator="greaterThan">
      <formula>$B$12</formula>
    </cfRule>
  </conditionalFormatting>
  <conditionalFormatting sqref="D9">
    <cfRule type="cellIs" dxfId="63" priority="3" operator="greaterThan">
      <formula>$B$12</formula>
    </cfRule>
  </conditionalFormatting>
  <conditionalFormatting sqref="C10">
    <cfRule type="cellIs" dxfId="62" priority="2" operator="greaterThan">
      <formula>$B$12</formula>
    </cfRule>
  </conditionalFormatting>
  <conditionalFormatting sqref="D10">
    <cfRule type="cellIs" dxfId="61" priority="1" operator="greaterThan">
      <formula>$B$12</formula>
    </cfRule>
  </conditionalFormatting>
  <conditionalFormatting sqref="B6">
    <cfRule type="cellIs" dxfId="60" priority="15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="80" zoomScaleNormal="80" workbookViewId="0">
      <selection activeCell="B5" sqref="B5"/>
    </sheetView>
  </sheetViews>
  <sheetFormatPr baseColWidth="10" defaultColWidth="11.5546875" defaultRowHeight="15" x14ac:dyDescent="0.2"/>
  <cols>
    <col min="1" max="1" width="28.5546875" style="1" customWidth="1"/>
    <col min="2" max="2" width="12.44140625" style="1" customWidth="1"/>
    <col min="3" max="3" width="13.6640625" style="1" customWidth="1"/>
    <col min="4" max="5" width="11.5546875" style="1"/>
    <col min="6" max="6" width="14.44140625" style="1" bestFit="1" customWidth="1"/>
    <col min="7" max="16384" width="11.5546875" style="1"/>
  </cols>
  <sheetData>
    <row r="1" spans="1:14" ht="15.75" thickBot="1" x14ac:dyDescent="0.25"/>
    <row r="2" spans="1:14" ht="16.5" thickBot="1" x14ac:dyDescent="0.3">
      <c r="A2" s="2"/>
      <c r="B2" s="2"/>
      <c r="C2" s="2"/>
      <c r="D2" s="2"/>
      <c r="E2" s="2"/>
      <c r="F2" s="2"/>
      <c r="G2" s="32"/>
      <c r="H2" s="2"/>
      <c r="I2" s="2"/>
      <c r="J2" s="2"/>
      <c r="K2" s="2"/>
      <c r="L2" s="2"/>
      <c r="M2" s="2"/>
      <c r="N2" s="2"/>
    </row>
    <row r="3" spans="1:14" ht="15.75" thickBot="1" x14ac:dyDescent="0.25"/>
    <row r="4" spans="1:14" ht="18.75" thickBot="1" x14ac:dyDescent="0.25">
      <c r="A4" s="4" t="s">
        <v>0</v>
      </c>
      <c r="B4" s="52">
        <v>15</v>
      </c>
      <c r="D4" s="3">
        <f t="shared" ref="D4:N4" si="0">(SQRT(3)*$G$28)/D7</f>
        <v>13.777676878388796</v>
      </c>
      <c r="E4" s="3">
        <f t="shared" si="0"/>
        <v>9.1851179189258652</v>
      </c>
      <c r="F4" s="3">
        <f t="shared" si="0"/>
        <v>6.888838439194398</v>
      </c>
      <c r="G4" s="3">
        <f t="shared" si="0"/>
        <v>4.5925589594629326</v>
      </c>
      <c r="H4" s="3">
        <f t="shared" si="0"/>
        <v>3.444419219597199</v>
      </c>
      <c r="I4" s="3">
        <f t="shared" si="0"/>
        <v>2.7555353756777592</v>
      </c>
      <c r="J4" s="3">
        <f t="shared" si="0"/>
        <v>2.2962794797314663</v>
      </c>
      <c r="K4" s="3">
        <f t="shared" si="0"/>
        <v>1.9682395540555424</v>
      </c>
      <c r="L4" s="3">
        <f t="shared" si="0"/>
        <v>1.7222096097985995</v>
      </c>
      <c r="M4" s="3">
        <f t="shared" si="0"/>
        <v>1.3777676878388796</v>
      </c>
      <c r="N4" s="3">
        <f t="shared" si="0"/>
        <v>1.1481397398657331</v>
      </c>
    </row>
    <row r="5" spans="1:14" ht="16.5" thickBot="1" x14ac:dyDescent="0.3">
      <c r="A5" s="4" t="s">
        <v>1</v>
      </c>
      <c r="B5" s="53">
        <v>3.5</v>
      </c>
      <c r="D5" s="372" t="s">
        <v>2</v>
      </c>
      <c r="E5" s="373"/>
      <c r="F5" s="373"/>
      <c r="G5" s="373"/>
      <c r="H5" s="373"/>
      <c r="I5" s="373"/>
      <c r="J5" s="373"/>
      <c r="K5" s="373"/>
      <c r="L5" s="373"/>
      <c r="M5" s="373"/>
      <c r="N5" s="374"/>
    </row>
    <row r="6" spans="1:14" ht="21.75" thickBot="1" x14ac:dyDescent="0.25">
      <c r="A6" s="4" t="s">
        <v>3</v>
      </c>
      <c r="B6" s="54">
        <v>200</v>
      </c>
      <c r="C6" s="5" t="s">
        <v>4</v>
      </c>
      <c r="D6" s="22" t="s">
        <v>5</v>
      </c>
      <c r="E6" s="23" t="s">
        <v>6</v>
      </c>
      <c r="F6" s="24" t="str">
        <f>"01"</f>
        <v>01</v>
      </c>
      <c r="G6" s="25" t="str">
        <f>"015"</f>
        <v>015</v>
      </c>
      <c r="H6" s="26" t="str">
        <f>"02"</f>
        <v>02</v>
      </c>
      <c r="I6" s="27" t="str">
        <f>"025"</f>
        <v>025</v>
      </c>
      <c r="J6" s="28" t="str">
        <f>"03"</f>
        <v>03</v>
      </c>
      <c r="K6" s="29" t="s">
        <v>7</v>
      </c>
      <c r="L6" s="30" t="str">
        <f>"04"</f>
        <v>04</v>
      </c>
      <c r="M6" s="31" t="str">
        <f>"05"</f>
        <v>05</v>
      </c>
      <c r="N6" s="33" t="s">
        <v>8</v>
      </c>
    </row>
    <row r="7" spans="1:14" ht="18.75" thickBot="1" x14ac:dyDescent="0.25">
      <c r="A7" s="16" t="s">
        <v>9</v>
      </c>
      <c r="B7" s="55">
        <v>11</v>
      </c>
      <c r="C7" s="5" t="s">
        <v>10</v>
      </c>
      <c r="D7" s="17">
        <v>0.2</v>
      </c>
      <c r="E7" s="17">
        <v>0.3</v>
      </c>
      <c r="F7" s="34">
        <v>0.4</v>
      </c>
      <c r="G7" s="34">
        <v>0.6</v>
      </c>
      <c r="H7" s="35">
        <v>0.8</v>
      </c>
      <c r="I7" s="36">
        <v>1</v>
      </c>
      <c r="J7" s="35">
        <v>1.2</v>
      </c>
      <c r="K7" s="35">
        <v>1.4</v>
      </c>
      <c r="L7" s="35">
        <v>1.6</v>
      </c>
      <c r="M7" s="36">
        <v>2</v>
      </c>
      <c r="N7" s="36">
        <v>2.4</v>
      </c>
    </row>
    <row r="8" spans="1:14" ht="18.75" thickBot="1" x14ac:dyDescent="0.25">
      <c r="A8" s="37" t="str">
        <f>IF(SUM(D9:N9)=B7,"","Summe der unterschiedlichen Düsen")</f>
        <v/>
      </c>
      <c r="B8" s="38" t="str">
        <f>IF(SUM(D9:N9)=B7,"",SUM(D9:N9))</f>
        <v/>
      </c>
      <c r="C8" s="5" t="s">
        <v>11</v>
      </c>
      <c r="D8" s="21" t="str">
        <f t="shared" ref="D8:N8" si="1">IF(POWER(D4,2)&gt;15,"",IF(POWER(D4,2)&lt;1,"",POWER(D4,2)))</f>
        <v/>
      </c>
      <c r="E8" s="21" t="str">
        <f t="shared" si="1"/>
        <v/>
      </c>
      <c r="F8" s="21" t="str">
        <f t="shared" si="1"/>
        <v/>
      </c>
      <c r="G8" s="21" t="str">
        <f t="shared" si="1"/>
        <v/>
      </c>
      <c r="H8" s="21">
        <f t="shared" si="1"/>
        <v>11.864023760330577</v>
      </c>
      <c r="I8" s="21">
        <f t="shared" si="1"/>
        <v>7.5929752066115697</v>
      </c>
      <c r="J8" s="21">
        <f t="shared" si="1"/>
        <v>5.2728994490358136</v>
      </c>
      <c r="K8" s="21">
        <f t="shared" si="1"/>
        <v>3.8739669421487606</v>
      </c>
      <c r="L8" s="21">
        <f t="shared" si="1"/>
        <v>2.9660059400826442</v>
      </c>
      <c r="M8" s="21">
        <f t="shared" si="1"/>
        <v>1.8982438016528924</v>
      </c>
      <c r="N8" s="21">
        <f t="shared" si="1"/>
        <v>1.3182248622589534</v>
      </c>
    </row>
    <row r="9" spans="1:14" ht="18.75" thickBot="1" x14ac:dyDescent="0.25">
      <c r="A9" s="19"/>
      <c r="B9" s="20"/>
      <c r="C9" s="5" t="s">
        <v>12</v>
      </c>
      <c r="D9" s="58"/>
      <c r="E9" s="58"/>
      <c r="F9" s="58"/>
      <c r="G9" s="58">
        <v>4</v>
      </c>
      <c r="H9" s="58">
        <v>3</v>
      </c>
      <c r="I9" s="58"/>
      <c r="J9" s="58">
        <v>4</v>
      </c>
      <c r="K9" s="58"/>
      <c r="L9" s="58"/>
      <c r="M9" s="58"/>
      <c r="N9" s="58"/>
    </row>
    <row r="10" spans="1:14" ht="18.75" thickBot="1" x14ac:dyDescent="0.25">
      <c r="A10" s="19"/>
      <c r="B10" s="20"/>
      <c r="C10" s="5"/>
      <c r="D10" s="375">
        <f>G31</f>
        <v>9.9690755208333286</v>
      </c>
      <c r="E10" s="376"/>
      <c r="F10" s="376"/>
      <c r="G10" s="376"/>
      <c r="H10" s="376"/>
      <c r="I10" s="376"/>
      <c r="J10" s="376"/>
      <c r="K10" s="376"/>
      <c r="L10" s="376"/>
      <c r="M10" s="376"/>
      <c r="N10" s="377"/>
    </row>
    <row r="11" spans="1:14" ht="18.75" thickBot="1" x14ac:dyDescent="0.25">
      <c r="A11" s="19"/>
      <c r="B11" s="20"/>
      <c r="C11" s="5" t="s">
        <v>10</v>
      </c>
      <c r="D11" s="17" t="str">
        <f t="shared" ref="D11:N11" si="2">IF(D9="","",(D7*SQRT($G$31))/SQRT(3))</f>
        <v/>
      </c>
      <c r="E11" s="17" t="str">
        <f t="shared" si="2"/>
        <v/>
      </c>
      <c r="F11" s="17" t="str">
        <f t="shared" si="2"/>
        <v/>
      </c>
      <c r="G11" s="17">
        <f t="shared" si="2"/>
        <v>1.0937499999999998</v>
      </c>
      <c r="H11" s="17">
        <f t="shared" si="2"/>
        <v>1.4583333333333333</v>
      </c>
      <c r="I11" s="17" t="str">
        <f t="shared" si="2"/>
        <v/>
      </c>
      <c r="J11" s="17">
        <f t="shared" si="2"/>
        <v>2.1874999999999996</v>
      </c>
      <c r="K11" s="17" t="str">
        <f t="shared" si="2"/>
        <v/>
      </c>
      <c r="L11" s="17" t="str">
        <f t="shared" si="2"/>
        <v/>
      </c>
      <c r="M11" s="17" t="str">
        <f t="shared" si="2"/>
        <v/>
      </c>
      <c r="N11" s="17" t="str">
        <f t="shared" si="2"/>
        <v/>
      </c>
    </row>
    <row r="12" spans="1:14" ht="18.75" thickBot="1" x14ac:dyDescent="0.25">
      <c r="A12" s="19"/>
      <c r="B12" s="20"/>
      <c r="C12" s="5"/>
      <c r="D12" s="3">
        <f t="shared" ref="D12:M12" si="3">(SQRT(3)*$G$28)/D15</f>
        <v>13.121597027036948</v>
      </c>
      <c r="E12" s="3">
        <f t="shared" si="3"/>
        <v>9.8411977702777111</v>
      </c>
      <c r="F12" s="3">
        <f t="shared" si="3"/>
        <v>7.2514088833625241</v>
      </c>
      <c r="G12" s="3">
        <f t="shared" si="3"/>
        <v>4.83427258890835</v>
      </c>
      <c r="H12" s="3">
        <f t="shared" si="3"/>
        <v>3.5786173710100768</v>
      </c>
      <c r="I12" s="3">
        <f t="shared" si="3"/>
        <v>2.5514216441460733</v>
      </c>
      <c r="J12" s="3">
        <f t="shared" si="3"/>
        <v>2.3351994709133552</v>
      </c>
      <c r="K12" s="3">
        <f t="shared" si="3"/>
        <v>1.9682395540555424</v>
      </c>
      <c r="L12" s="3">
        <f t="shared" si="3"/>
        <v>1.7551180736801013</v>
      </c>
      <c r="M12" s="3">
        <f t="shared" si="3"/>
        <v>1.4351746748321663</v>
      </c>
      <c r="N12" s="39"/>
    </row>
    <row r="13" spans="1:14" ht="18.75" thickBot="1" x14ac:dyDescent="0.3">
      <c r="A13" s="19"/>
      <c r="B13" s="20"/>
      <c r="C13" s="5"/>
      <c r="D13" s="372" t="s">
        <v>41</v>
      </c>
      <c r="E13" s="373"/>
      <c r="F13" s="373"/>
      <c r="G13" s="373"/>
      <c r="H13" s="373"/>
      <c r="I13" s="373"/>
      <c r="J13" s="373"/>
      <c r="K13" s="373"/>
      <c r="L13" s="373"/>
      <c r="M13" s="374"/>
      <c r="N13" s="39"/>
    </row>
    <row r="14" spans="1:14" ht="18.75" thickBot="1" x14ac:dyDescent="0.25">
      <c r="A14" s="19"/>
      <c r="B14" s="20"/>
      <c r="D14" s="6" t="s">
        <v>29</v>
      </c>
      <c r="E14" s="7" t="s">
        <v>30</v>
      </c>
      <c r="F14" s="8" t="s">
        <v>31</v>
      </c>
      <c r="G14" s="9" t="s">
        <v>32</v>
      </c>
      <c r="H14" s="10" t="s">
        <v>33</v>
      </c>
      <c r="I14" s="11" t="s">
        <v>34</v>
      </c>
      <c r="J14" s="12" t="s">
        <v>35</v>
      </c>
      <c r="K14" s="13" t="s">
        <v>36</v>
      </c>
      <c r="L14" s="14" t="s">
        <v>37</v>
      </c>
      <c r="M14" s="15" t="s">
        <v>38</v>
      </c>
      <c r="N14" s="40" t="s">
        <v>28</v>
      </c>
    </row>
    <row r="15" spans="1:14" ht="18.75" thickBot="1" x14ac:dyDescent="0.25">
      <c r="A15" s="19"/>
      <c r="B15" s="20"/>
      <c r="D15" s="17">
        <v>0.21</v>
      </c>
      <c r="E15" s="17">
        <v>0.28000000000000003</v>
      </c>
      <c r="F15" s="17">
        <v>0.38</v>
      </c>
      <c r="G15" s="18">
        <v>0.56999999999999995</v>
      </c>
      <c r="H15" s="18">
        <v>0.77</v>
      </c>
      <c r="I15" s="18">
        <v>1.08</v>
      </c>
      <c r="J15" s="18">
        <v>1.18</v>
      </c>
      <c r="K15" s="18">
        <v>1.4</v>
      </c>
      <c r="L15" s="18">
        <v>1.57</v>
      </c>
      <c r="M15" s="18">
        <v>1.92</v>
      </c>
      <c r="N15" s="40" t="s">
        <v>10</v>
      </c>
    </row>
    <row r="16" spans="1:14" ht="18.75" thickBot="1" x14ac:dyDescent="0.25">
      <c r="D16" s="21" t="str">
        <f t="shared" ref="D16:M16" si="4">IF(POWER(D12,2)&gt;15,"",IF(POWER(D12,2)&lt;1,"",POWER(D12,2)))</f>
        <v/>
      </c>
      <c r="E16" s="21" t="str">
        <f t="shared" si="4"/>
        <v/>
      </c>
      <c r="F16" s="21" t="str">
        <f t="shared" si="4"/>
        <v/>
      </c>
      <c r="G16" s="21" t="str">
        <f t="shared" si="4"/>
        <v/>
      </c>
      <c r="H16" s="21">
        <f t="shared" si="4"/>
        <v>12.806502288095073</v>
      </c>
      <c r="I16" s="21">
        <f t="shared" si="4"/>
        <v>6.5097524062170518</v>
      </c>
      <c r="J16" s="21">
        <f t="shared" si="4"/>
        <v>5.4531565689540145</v>
      </c>
      <c r="K16" s="21">
        <f t="shared" si="4"/>
        <v>3.8739669421487606</v>
      </c>
      <c r="L16" s="21">
        <f t="shared" si="4"/>
        <v>3.0804394525585495</v>
      </c>
      <c r="M16" s="21">
        <f t="shared" si="4"/>
        <v>2.0597263472796143</v>
      </c>
      <c r="N16" s="40" t="s">
        <v>11</v>
      </c>
    </row>
    <row r="17" spans="1:14" ht="18.75" thickBot="1" x14ac:dyDescent="0.25">
      <c r="A17" s="16" t="s">
        <v>9</v>
      </c>
      <c r="B17" s="55"/>
      <c r="C17" s="19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40" t="s">
        <v>12</v>
      </c>
    </row>
    <row r="18" spans="1:14" ht="18.75" thickBot="1" x14ac:dyDescent="0.25">
      <c r="A18" s="37" t="str">
        <f>IF(SUM(D17:M17)=B17,"","Summe der unterschiedlichen Düsen")</f>
        <v/>
      </c>
      <c r="B18" s="38" t="str">
        <f>IF(SUM(D17:M17)=B17,"",SUM(D17:M17))</f>
        <v/>
      </c>
      <c r="D18" s="380" t="e">
        <f>H32</f>
        <v>#DIV/0!</v>
      </c>
      <c r="E18" s="381"/>
      <c r="F18" s="381"/>
      <c r="G18" s="381"/>
      <c r="H18" s="381"/>
      <c r="I18" s="381"/>
      <c r="J18" s="381"/>
      <c r="K18" s="381"/>
      <c r="L18" s="381"/>
      <c r="M18" s="382"/>
      <c r="N18" s="40"/>
    </row>
    <row r="19" spans="1:14" ht="18.75" thickBot="1" x14ac:dyDescent="0.25">
      <c r="D19" s="17" t="str">
        <f t="shared" ref="D19:M19" si="5">IF(D17="","",(D15*SQRT($G$31))/SQRT(3))</f>
        <v/>
      </c>
      <c r="E19" s="17" t="str">
        <f t="shared" si="5"/>
        <v/>
      </c>
      <c r="F19" s="17" t="str">
        <f t="shared" si="5"/>
        <v/>
      </c>
      <c r="G19" s="17" t="str">
        <f t="shared" si="5"/>
        <v/>
      </c>
      <c r="H19" s="17" t="str">
        <f t="shared" si="5"/>
        <v/>
      </c>
      <c r="I19" s="17" t="str">
        <f t="shared" si="5"/>
        <v/>
      </c>
      <c r="J19" s="17" t="str">
        <f t="shared" si="5"/>
        <v/>
      </c>
      <c r="K19" s="17" t="str">
        <f t="shared" si="5"/>
        <v/>
      </c>
      <c r="L19" s="17" t="str">
        <f t="shared" si="5"/>
        <v/>
      </c>
      <c r="M19" s="17" t="str">
        <f t="shared" si="5"/>
        <v/>
      </c>
      <c r="N19" s="40" t="s">
        <v>10</v>
      </c>
    </row>
    <row r="20" spans="1:14" ht="15.75" thickBot="1" x14ac:dyDescent="0.25">
      <c r="H20" s="41"/>
      <c r="I20" s="41"/>
      <c r="J20" s="41"/>
      <c r="K20" s="41"/>
      <c r="L20" s="41"/>
      <c r="M20" s="41"/>
      <c r="N20" s="41"/>
    </row>
    <row r="21" spans="1:14" ht="18" x14ac:dyDescent="0.2">
      <c r="A21" s="357" t="s">
        <v>13</v>
      </c>
      <c r="B21" s="358" t="s">
        <v>14</v>
      </c>
      <c r="C21" s="358"/>
      <c r="D21" s="358"/>
      <c r="G21" s="378">
        <f>(B7*G28*600)/(B5*B4)</f>
        <v>200</v>
      </c>
      <c r="H21" s="42">
        <f>SUM(D9:N9)</f>
        <v>11</v>
      </c>
      <c r="I21" s="43" t="str">
        <f>IF(H21=B7,"","Bitte die Anzahl der eingegebenen Düsen mit der Gesamtanzahl oben links abgleichen")</f>
        <v/>
      </c>
      <c r="J21" s="44"/>
      <c r="K21" s="356"/>
      <c r="L21" s="356"/>
      <c r="M21" s="356"/>
      <c r="N21" s="44"/>
    </row>
    <row r="22" spans="1:14" ht="15.75" customHeight="1" thickBot="1" x14ac:dyDescent="0.25">
      <c r="A22" s="357"/>
      <c r="B22" s="371" t="s">
        <v>15</v>
      </c>
      <c r="C22" s="371"/>
      <c r="D22" s="371"/>
      <c r="G22" s="379"/>
      <c r="H22" s="45"/>
      <c r="I22" s="44"/>
      <c r="J22" s="44"/>
      <c r="K22" s="44"/>
      <c r="L22" s="44"/>
      <c r="M22" s="44"/>
      <c r="N22" s="44"/>
    </row>
    <row r="23" spans="1:14" ht="15" customHeight="1" x14ac:dyDescent="0.2">
      <c r="H23" s="45"/>
      <c r="I23" s="44"/>
      <c r="J23" s="44"/>
      <c r="K23" s="356"/>
      <c r="L23" s="356"/>
      <c r="M23" s="356"/>
      <c r="N23" s="356"/>
    </row>
    <row r="24" spans="1:14" ht="15.75" thickBot="1" x14ac:dyDescent="0.25">
      <c r="H24" s="45"/>
      <c r="I24" s="45" t="s">
        <v>39</v>
      </c>
      <c r="J24" s="45"/>
      <c r="K24" s="45"/>
      <c r="L24" s="45"/>
      <c r="M24" s="45"/>
      <c r="N24" s="45"/>
    </row>
    <row r="25" spans="1:14" ht="15" customHeight="1" x14ac:dyDescent="0.2">
      <c r="A25" s="357" t="s">
        <v>16</v>
      </c>
      <c r="B25" s="358" t="s">
        <v>17</v>
      </c>
      <c r="C25" s="358"/>
      <c r="D25" s="358"/>
      <c r="E25" s="358"/>
      <c r="G25" s="359">
        <f>(B6*B5*B4)/600</f>
        <v>17.5</v>
      </c>
      <c r="H25" s="46"/>
      <c r="I25" s="361">
        <f>(D9*D7)+(E9*E7)+(F9*F7)+(G9*G7)+(H9*H7)+(I9*I7)+(J9*J7)+(K9*K7)+(L9*L7)+(M9*M7)+(N9*N7)</f>
        <v>9.6000000000000014</v>
      </c>
      <c r="J25" s="47"/>
      <c r="K25" s="45"/>
      <c r="L25" s="45"/>
      <c r="M25" s="45"/>
      <c r="N25" s="45"/>
    </row>
    <row r="26" spans="1:14" ht="15.75" thickBot="1" x14ac:dyDescent="0.25">
      <c r="A26" s="357"/>
      <c r="B26" s="362">
        <v>600</v>
      </c>
      <c r="C26" s="362"/>
      <c r="D26" s="362"/>
      <c r="E26" s="362"/>
      <c r="G26" s="360"/>
      <c r="H26" s="46"/>
      <c r="I26" s="361"/>
      <c r="J26" s="47"/>
      <c r="K26" s="45"/>
      <c r="L26" s="45"/>
      <c r="M26" s="45"/>
      <c r="N26" s="45"/>
    </row>
    <row r="27" spans="1:14" ht="18.75" thickBot="1" x14ac:dyDescent="0.25">
      <c r="H27" s="45"/>
      <c r="I27" s="45" t="s">
        <v>40</v>
      </c>
      <c r="J27" s="45"/>
      <c r="K27" s="356"/>
      <c r="L27" s="356"/>
      <c r="M27" s="356"/>
      <c r="N27" s="356"/>
    </row>
    <row r="28" spans="1:14" x14ac:dyDescent="0.2">
      <c r="A28" s="357" t="s">
        <v>18</v>
      </c>
      <c r="B28" s="358" t="s">
        <v>19</v>
      </c>
      <c r="C28" s="358"/>
      <c r="D28" s="358"/>
      <c r="E28" s="358"/>
      <c r="F28" s="20"/>
      <c r="G28" s="359">
        <f>G25/B7</f>
        <v>1.5909090909090908</v>
      </c>
      <c r="H28" s="46"/>
      <c r="I28" s="45">
        <f>(D17*D15)+(E17*E15)+(F17*D15)+(G17*E15)+(H17*H15)+(I17*I15)+(J17*J15)+(K17*K15)+(L17*L15)+(M17*M15)</f>
        <v>0</v>
      </c>
      <c r="J28" s="45"/>
      <c r="K28" s="45"/>
      <c r="L28" s="45"/>
      <c r="M28" s="45"/>
      <c r="N28" s="45"/>
    </row>
    <row r="29" spans="1:14" ht="15.75" thickBot="1" x14ac:dyDescent="0.25">
      <c r="A29" s="357"/>
      <c r="B29" s="362" t="s">
        <v>20</v>
      </c>
      <c r="C29" s="362"/>
      <c r="D29" s="362"/>
      <c r="E29" s="362"/>
      <c r="F29" s="20"/>
      <c r="G29" s="360"/>
      <c r="H29" s="46"/>
      <c r="I29" s="45"/>
      <c r="J29" s="45"/>
      <c r="K29" s="45"/>
      <c r="L29" s="45"/>
      <c r="M29" s="45"/>
      <c r="N29" s="45"/>
    </row>
    <row r="30" spans="1:14" ht="15.75" thickBot="1" x14ac:dyDescent="0.25">
      <c r="A30" s="48"/>
      <c r="B30" s="20"/>
      <c r="C30" s="20"/>
      <c r="D30" s="20"/>
      <c r="E30" s="20"/>
      <c r="F30" s="20"/>
      <c r="G30" s="49"/>
      <c r="H30" s="46" t="s">
        <v>4</v>
      </c>
      <c r="I30" s="45">
        <f>((SQRT(3)*G25)/I25)</f>
        <v>3.1573842846307651</v>
      </c>
      <c r="J30" s="45"/>
      <c r="K30" s="45"/>
      <c r="L30" s="45"/>
      <c r="M30" s="45"/>
      <c r="N30" s="45"/>
    </row>
    <row r="31" spans="1:14" x14ac:dyDescent="0.2">
      <c r="A31" s="48"/>
      <c r="B31" s="20"/>
      <c r="C31" s="366" t="s">
        <v>21</v>
      </c>
      <c r="D31" s="366"/>
      <c r="E31" s="366"/>
      <c r="F31" s="20"/>
      <c r="G31" s="367">
        <f>POWER(I30,2)</f>
        <v>9.9690755208333286</v>
      </c>
      <c r="H31" s="46" t="s">
        <v>28</v>
      </c>
      <c r="I31" s="45" t="e">
        <f>((SQRT(3)*G25)/I28)</f>
        <v>#DIV/0!</v>
      </c>
      <c r="J31" s="45"/>
      <c r="K31" s="45"/>
      <c r="L31" s="45"/>
      <c r="M31" s="45"/>
      <c r="N31" s="45"/>
    </row>
    <row r="32" spans="1:14" ht="15.75" customHeight="1" thickBot="1" x14ac:dyDescent="0.25">
      <c r="A32" s="48"/>
      <c r="B32" s="20"/>
      <c r="C32" s="366"/>
      <c r="D32" s="366"/>
      <c r="E32" s="366"/>
      <c r="F32" s="20"/>
      <c r="G32" s="368"/>
      <c r="H32" s="50" t="e">
        <f>POWER(I31,2)</f>
        <v>#DIV/0!</v>
      </c>
      <c r="I32" s="45"/>
      <c r="J32" s="41"/>
      <c r="K32" s="41"/>
      <c r="L32" s="41"/>
      <c r="M32" s="41"/>
      <c r="N32" s="41"/>
    </row>
    <row r="33" spans="1:14" ht="18.75" thickBot="1" x14ac:dyDescent="0.25">
      <c r="A33" s="16" t="s">
        <v>22</v>
      </c>
      <c r="B33" s="56">
        <v>50</v>
      </c>
      <c r="H33" s="45"/>
      <c r="I33" s="45"/>
      <c r="J33" s="41"/>
      <c r="K33" s="356"/>
      <c r="L33" s="356"/>
      <c r="M33" s="356"/>
      <c r="N33" s="356"/>
    </row>
    <row r="34" spans="1:14" ht="15.75" thickBot="1" x14ac:dyDescent="0.25">
      <c r="A34" s="16" t="s">
        <v>23</v>
      </c>
      <c r="B34" s="57">
        <v>30</v>
      </c>
      <c r="H34" s="41"/>
      <c r="I34" s="41"/>
      <c r="J34" s="41"/>
      <c r="K34" s="41"/>
      <c r="L34" s="41"/>
      <c r="M34" s="41"/>
      <c r="N34" s="41"/>
    </row>
    <row r="35" spans="1:14" ht="15.75" thickBot="1" x14ac:dyDescent="0.25">
      <c r="H35" s="41"/>
      <c r="I35" s="41"/>
      <c r="J35" s="41"/>
      <c r="K35" s="41"/>
      <c r="L35" s="41"/>
      <c r="M35" s="41"/>
      <c r="N35" s="41"/>
    </row>
    <row r="36" spans="1:14" x14ac:dyDescent="0.2">
      <c r="A36" s="357" t="s">
        <v>24</v>
      </c>
      <c r="B36" s="358" t="s">
        <v>25</v>
      </c>
      <c r="C36" s="358"/>
      <c r="G36" s="369">
        <f>3.6*B33/B34</f>
        <v>6</v>
      </c>
      <c r="H36" s="41"/>
      <c r="I36" s="41"/>
      <c r="J36" s="41"/>
      <c r="K36" s="41"/>
      <c r="L36" s="41"/>
      <c r="M36" s="41"/>
      <c r="N36" s="41"/>
    </row>
    <row r="37" spans="1:14" ht="15.75" thickBot="1" x14ac:dyDescent="0.25">
      <c r="A37" s="357"/>
      <c r="B37" s="371" t="s">
        <v>23</v>
      </c>
      <c r="C37" s="371"/>
      <c r="G37" s="370"/>
      <c r="H37" s="41"/>
      <c r="I37" s="41"/>
      <c r="J37" s="41"/>
      <c r="K37" s="41"/>
      <c r="L37" s="41"/>
      <c r="M37" s="41"/>
      <c r="N37" s="41"/>
    </row>
    <row r="38" spans="1:14" ht="15.75" thickBot="1" x14ac:dyDescent="0.25">
      <c r="H38" s="41"/>
      <c r="I38" s="41"/>
      <c r="J38" s="41"/>
      <c r="K38" s="41"/>
      <c r="L38" s="41"/>
      <c r="M38" s="41"/>
      <c r="N38" s="41"/>
    </row>
    <row r="39" spans="1:14" x14ac:dyDescent="0.2">
      <c r="A39" s="357" t="s">
        <v>26</v>
      </c>
      <c r="B39" s="363" t="s">
        <v>27</v>
      </c>
      <c r="C39" s="363"/>
      <c r="G39" s="364">
        <f>G36*(1000/60)</f>
        <v>100</v>
      </c>
      <c r="H39" s="51"/>
      <c r="I39" s="51"/>
      <c r="J39" s="51"/>
      <c r="K39" s="51"/>
      <c r="L39" s="51"/>
      <c r="M39" s="51"/>
      <c r="N39" s="51"/>
    </row>
    <row r="40" spans="1:14" ht="15.75" thickBot="1" x14ac:dyDescent="0.25">
      <c r="A40" s="357"/>
      <c r="B40" s="363"/>
      <c r="C40" s="363"/>
      <c r="G40" s="365"/>
      <c r="H40" s="51"/>
      <c r="I40" s="51"/>
      <c r="J40" s="51"/>
      <c r="K40" s="51"/>
      <c r="L40" s="51"/>
      <c r="M40" s="51"/>
      <c r="N40" s="51"/>
    </row>
  </sheetData>
  <sheetProtection algorithmName="SHA-512" hashValue="/aYmTSW6D14uylr2XL7wWkXUdOjHSz9nomS2hovhffR1hTsD5biyFCu9dBDXllU/vcEl7ot515MNHwDVpaec3w==" saltValue="DGTg9AOORCfGX2ihRbkdMw==" spinCount="100000" sheet="1" selectLockedCells="1"/>
  <mergeCells count="30">
    <mergeCell ref="D5:N5"/>
    <mergeCell ref="D10:N10"/>
    <mergeCell ref="A21:A22"/>
    <mergeCell ref="B21:D21"/>
    <mergeCell ref="G21:G22"/>
    <mergeCell ref="K21:M21"/>
    <mergeCell ref="B22:D22"/>
    <mergeCell ref="D13:M13"/>
    <mergeCell ref="D18:M18"/>
    <mergeCell ref="A39:A40"/>
    <mergeCell ref="B39:C40"/>
    <mergeCell ref="G39:G40"/>
    <mergeCell ref="K27:N27"/>
    <mergeCell ref="A28:A29"/>
    <mergeCell ref="B28:E28"/>
    <mergeCell ref="G28:G29"/>
    <mergeCell ref="B29:E29"/>
    <mergeCell ref="C31:E32"/>
    <mergeCell ref="G31:G32"/>
    <mergeCell ref="K33:N33"/>
    <mergeCell ref="A36:A37"/>
    <mergeCell ref="B36:C36"/>
    <mergeCell ref="G36:G37"/>
    <mergeCell ref="B37:C37"/>
    <mergeCell ref="K23:N23"/>
    <mergeCell ref="A25:A26"/>
    <mergeCell ref="B25:E25"/>
    <mergeCell ref="G25:G26"/>
    <mergeCell ref="I25:I26"/>
    <mergeCell ref="B26:E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>
      <selection activeCell="G8" sqref="G8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17.664062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50" t="s">
        <v>77</v>
      </c>
      <c r="B3" s="383">
        <v>1</v>
      </c>
      <c r="C3" s="383"/>
      <c r="D3" s="384"/>
      <c r="E3" s="63" t="s">
        <v>78</v>
      </c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2</v>
      </c>
      <c r="C5" s="104">
        <v>5</v>
      </c>
      <c r="D5" s="104">
        <v>8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163.29931618554522</v>
      </c>
      <c r="C6" s="106">
        <f>(((SQRT(C5)*$B$3)/SQRT(3))*$C$15)/$A6</f>
        <v>258.19888974716116</v>
      </c>
      <c r="D6" s="106">
        <f>(((SQRT(D5)*$B$3)/SQRT(3))*$C$15)/$A6</f>
        <v>326.59863237109045</v>
      </c>
      <c r="F6" s="107" t="str">
        <f>_1965b</f>
        <v>Lechler</v>
      </c>
      <c r="G6" s="107" t="str">
        <f>_1965c</f>
        <v>ID (3) 120 025</v>
      </c>
      <c r="H6" s="108">
        <f>_1965h</f>
        <v>2</v>
      </c>
      <c r="I6" s="109" t="str">
        <f>IF(H6="","","bis")</f>
        <v>bis</v>
      </c>
      <c r="J6" s="110">
        <f>_1965i</f>
        <v>7</v>
      </c>
      <c r="K6" s="111">
        <f>(((SQRT($H6)*$B$3)/SQRT(3))*60000)/($B$12*$B$15)</f>
        <v>4.8989794855663567</v>
      </c>
      <c r="L6" s="109" t="str">
        <f>IF(K6="","","bis")</f>
        <v>bis</v>
      </c>
      <c r="M6" s="112">
        <f>(((SQRT($J6)*$B$3)/SQRT(3))*60000)/($B$12*$B$15)</f>
        <v>9.1651513899116814</v>
      </c>
      <c r="N6" s="110">
        <f>_1965j</f>
        <v>2</v>
      </c>
      <c r="O6" s="109" t="str">
        <f>IF(N6="","","bis")</f>
        <v>bis</v>
      </c>
      <c r="P6" s="112">
        <f>_1965k</f>
        <v>4</v>
      </c>
      <c r="Q6" s="111">
        <f>(((SQRT($N6)*$B$3)/SQRT(3))*60000)/($B$12*$B$15)</f>
        <v>4.8989794855663567</v>
      </c>
      <c r="R6" s="109" t="str">
        <f>IF(Q6="","","bis")</f>
        <v>bis</v>
      </c>
      <c r="S6" s="112">
        <f>(((SQRT($P6)*$B$3)/SQRT(3))*60000)/($B$12*$B$15)</f>
        <v>6.9282032302755105</v>
      </c>
      <c r="T6" s="111">
        <f>_1965l</f>
        <v>2</v>
      </c>
      <c r="U6" s="109" t="str">
        <f>IF(T6="","","bis")</f>
        <v>bis</v>
      </c>
      <c r="V6" s="110">
        <f>_1965m</f>
        <v>2.5</v>
      </c>
      <c r="W6" s="111">
        <f>(((SQRT($T6)*$B$3)/SQRT(3))*60000)/($B$12*$B$15)</f>
        <v>4.8989794855663567</v>
      </c>
      <c r="X6" s="109" t="str">
        <f>IF(W6="","","bis")</f>
        <v>bis</v>
      </c>
      <c r="Y6" s="110">
        <f>(((SQRT($V6)*$B$3)/SQRT(3))*60000)/($B$12*$B$15)</f>
        <v>5.4772255750516621</v>
      </c>
      <c r="Z6" s="113">
        <f>_1965f</f>
        <v>2</v>
      </c>
      <c r="AA6" s="109" t="str">
        <f>IF(Z6="","","bis")</f>
        <v>bis</v>
      </c>
      <c r="AB6" s="114">
        <f>_1965g</f>
        <v>8</v>
      </c>
    </row>
    <row r="7" spans="1:28" ht="18.75" thickBot="1" x14ac:dyDescent="0.3">
      <c r="A7" s="135">
        <v>7</v>
      </c>
      <c r="B7" s="106">
        <f>(((SQRT(B5)*$B$3)/SQRT(3))*$C$15)/$A7</f>
        <v>139.97084244475306</v>
      </c>
      <c r="C7" s="106">
        <f>(((SQRT(C5)*$B$3)/SQRT(3))*$C$15)/$A7</f>
        <v>221.31333406899529</v>
      </c>
      <c r="D7" s="106">
        <f>(((SQRT(D5)*$B$3)/SQRT(3))*$C$15)/$A7</f>
        <v>279.94168488950612</v>
      </c>
      <c r="F7" s="107" t="str">
        <f>_2204b</f>
        <v>Lechler</v>
      </c>
      <c r="G7" s="107" t="str">
        <f>_2204c</f>
        <v>PSULDCQ20025</v>
      </c>
      <c r="H7" s="108">
        <f>_2204h</f>
        <v>2</v>
      </c>
      <c r="I7" s="109" t="str">
        <f>IF(H7="","","bis")</f>
        <v>bis</v>
      </c>
      <c r="J7" s="112">
        <f>_2204i</f>
        <v>6</v>
      </c>
      <c r="K7" s="111">
        <f>(((SQRT($H7)*$B$3)/SQRT(3))*60000)/($B$12*$B$15)</f>
        <v>4.8989794855663567</v>
      </c>
      <c r="L7" s="109" t="str">
        <f>IF(K7="","","bis")</f>
        <v>bis</v>
      </c>
      <c r="M7" s="112">
        <f>(((SQRT($J7)*$B$3)/SQRT(3))*60000)/($B$12*$B$15)</f>
        <v>8.4852813742385695</v>
      </c>
      <c r="N7" s="111">
        <f>_2204j</f>
        <v>2</v>
      </c>
      <c r="O7" s="109" t="str">
        <f>IF(N7="","","bis")</f>
        <v>bis</v>
      </c>
      <c r="P7" s="112">
        <f>_2204k</f>
        <v>4</v>
      </c>
      <c r="Q7" s="111">
        <f>(((SQRT($N7)*$B$3)/SQRT(3))*60000)/($B$12*$B$15)</f>
        <v>4.8989794855663567</v>
      </c>
      <c r="R7" s="109" t="str">
        <f>IF(Q7="","","bis")</f>
        <v>bis</v>
      </c>
      <c r="S7" s="112">
        <f>(((SQRT($P7)*$B$3)/SQRT(3))*60000)/($B$12*$B$15)</f>
        <v>6.9282032302755105</v>
      </c>
      <c r="T7" s="111">
        <f>_2204l</f>
        <v>2</v>
      </c>
      <c r="U7" s="109" t="str">
        <f>IF(T7="","","bis")</f>
        <v>bis</v>
      </c>
      <c r="V7" s="112">
        <f>_2204m</f>
        <v>2.5</v>
      </c>
      <c r="W7" s="111">
        <f>(((SQRT($T7)*$B$3)/SQRT(3))*60000)/($B$12*$B$15)</f>
        <v>4.8989794855663567</v>
      </c>
      <c r="X7" s="109" t="str">
        <f>IF(W7="","","bis")</f>
        <v>bis</v>
      </c>
      <c r="Y7" s="112">
        <f>(((SQRT($V7)*$B$3)/SQRT(3))*60000)/($B$12*$B$15)</f>
        <v>5.4772255750516621</v>
      </c>
      <c r="Z7" s="113">
        <f>_2204f</f>
        <v>2</v>
      </c>
      <c r="AA7" s="109" t="str">
        <f>IF(Z7="","","bis")</f>
        <v>bis</v>
      </c>
      <c r="AB7" s="114">
        <f>_2204g</f>
        <v>8</v>
      </c>
    </row>
    <row r="8" spans="1:28" ht="18.75" thickBot="1" x14ac:dyDescent="0.3">
      <c r="A8" s="135">
        <v>8</v>
      </c>
      <c r="B8" s="106">
        <f>(((SQRT(B5)*$B$3)/SQRT(3))*$C$15)/$A8</f>
        <v>122.47448713915892</v>
      </c>
      <c r="C8" s="106">
        <f>(((SQRT(C5)*$B$3)/SQRT(3))*1200)/$A8</f>
        <v>193.64916731037087</v>
      </c>
      <c r="D8" s="106">
        <f>(((SQRT(D5)*$B$3)/SQRT(3))*1200)/$A8</f>
        <v>244.94897427831785</v>
      </c>
      <c r="F8" s="107" t="str">
        <f>_1737b</f>
        <v>TeeJet</v>
      </c>
      <c r="G8" s="107" t="str">
        <f>_1737c</f>
        <v>TTI 110 025</v>
      </c>
      <c r="H8" s="108">
        <f>_1737h</f>
        <v>1.5</v>
      </c>
      <c r="I8" s="109" t="str">
        <f>IF(H8="","","bis")</f>
        <v>bis</v>
      </c>
      <c r="J8" s="112">
        <f>_1737i</f>
        <v>5</v>
      </c>
      <c r="K8" s="111">
        <f>(((SQRT($H8)*$B$3)/SQRT(3))*60000)/($B$12*$B$15)</f>
        <v>4.2426406871192848</v>
      </c>
      <c r="L8" s="109" t="str">
        <f>IF(K8="","","bis")</f>
        <v>bis</v>
      </c>
      <c r="M8" s="112">
        <f>(((SQRT($J8)*$B$3)/SQRT(3))*60000)/($B$12*$B$15)</f>
        <v>7.7459666924148349</v>
      </c>
      <c r="N8" s="111">
        <f>_1737j</f>
        <v>1.5</v>
      </c>
      <c r="O8" s="109" t="str">
        <f>IF(N8="","","bis")</f>
        <v>bis</v>
      </c>
      <c r="P8" s="112">
        <f>_1737k</f>
        <v>2.5</v>
      </c>
      <c r="Q8" s="111">
        <f>(((SQRT($N8)*$B$3)/SQRT(3))*60000)/($B$12*$B$15)</f>
        <v>4.2426406871192848</v>
      </c>
      <c r="R8" s="109" t="str">
        <f>IF(Q8="","","bis")</f>
        <v>bis</v>
      </c>
      <c r="S8" s="112">
        <f>(((SQRT($P8)*$B$3)/SQRT(3))*60000)/($B$12*$B$15)</f>
        <v>5.4772255750516621</v>
      </c>
      <c r="T8" s="111">
        <f>_1737l</f>
        <v>1.5</v>
      </c>
      <c r="U8" s="109" t="str">
        <f>IF(T8="","","bis")</f>
        <v>bis</v>
      </c>
      <c r="V8" s="112">
        <f>_1737m</f>
        <v>1.5</v>
      </c>
      <c r="W8" s="111">
        <f>(((SQRT($T8)*$B$3)/SQRT(3))*60000)/($B$12*$B$15)</f>
        <v>4.2426406871192848</v>
      </c>
      <c r="X8" s="109" t="str">
        <f>IF(W8="","","bis")</f>
        <v>bis</v>
      </c>
      <c r="Y8" s="112">
        <f>(((SQRT($V8)*$B$3)/SQRT(3))*60000)/($B$12*$B$15)</f>
        <v>4.2426406871192848</v>
      </c>
      <c r="Z8" s="113">
        <f>_1737f</f>
        <v>1.5</v>
      </c>
      <c r="AA8" s="109" t="str">
        <f>IF(Z8="","","bis")</f>
        <v>bis</v>
      </c>
      <c r="AB8" s="114">
        <f>_1737g</f>
        <v>7</v>
      </c>
    </row>
    <row r="9" spans="1:28" ht="18.75" thickBot="1" x14ac:dyDescent="0.3">
      <c r="A9" s="135">
        <v>9</v>
      </c>
      <c r="B9" s="106">
        <f>(((SQRT(B5)*$B$3)/SQRT(3))*$C$15)/$A9</f>
        <v>108.86621079036348</v>
      </c>
      <c r="C9" s="106">
        <f>(((SQRT(C5)*$B$3)/SQRT(3))*$C$15)/$A9</f>
        <v>172.13259316477411</v>
      </c>
      <c r="D9" s="106">
        <f>(((SQRT(D5)*$B$3)/SQRT(3))*$C$15)/$A9</f>
        <v>217.73242158072696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(((SQRT($H9)*$B$3)/SQRT(3))*60000)/($B$12*$B$15)</f>
        <v>0</v>
      </c>
      <c r="L9" s="109" t="str">
        <f>IF(K9="","","bis")</f>
        <v>bis</v>
      </c>
      <c r="M9" s="112">
        <f>(((SQRT($J9)*$B$3)/SQRT(3))*60000)/($B$12*$B$15)</f>
        <v>0</v>
      </c>
      <c r="N9" s="111"/>
      <c r="O9" s="109" t="str">
        <f>IF(N9="","","bis")</f>
        <v/>
      </c>
      <c r="P9" s="112"/>
      <c r="Q9" s="111">
        <f>(((SQRT($N9)*$B$3)/SQRT(3))*60000)/($B$12*$B$15)</f>
        <v>0</v>
      </c>
      <c r="R9" s="109" t="str">
        <f>IF(Q9="","","bis")</f>
        <v>bis</v>
      </c>
      <c r="S9" s="112">
        <f>(((SQRT($P9)*$B$3)/SQRT(3))*60000)/($B$12*$B$15)</f>
        <v>0</v>
      </c>
      <c r="T9" s="111"/>
      <c r="U9" s="109" t="str">
        <f>IF(T9="","","bis")</f>
        <v/>
      </c>
      <c r="V9" s="110"/>
      <c r="W9" s="111">
        <f>(((SQRT($T9)*$B$3)/SQRT(3))*60000)/($B$12*$B$15)</f>
        <v>0</v>
      </c>
      <c r="X9" s="109" t="str">
        <f>IF(W9="","","bis")</f>
        <v>bis</v>
      </c>
      <c r="Y9" s="112">
        <f>(((SQRT($V9)*$B$3)/SQRT(3))*60000)/($B$12*$B$15)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10</v>
      </c>
      <c r="B10" s="115">
        <f>(((SQRT(B5)*$B$3)/SQRT(3))*$C$15)/$A10</f>
        <v>97.979589711327137</v>
      </c>
      <c r="C10" s="115">
        <f>(((SQRT(C5)*$B$3)/SQRT(3))*$C$15)/$A10</f>
        <v>154.9193338482967</v>
      </c>
      <c r="D10" s="115">
        <f>(((SQRT(D5)*$B$3)/SQRT(3))*$C$15)/$A10</f>
        <v>195.95917942265427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5.333333333333333</v>
      </c>
      <c r="C13" s="124">
        <f>(B12*B14*B15)/60000</f>
        <v>1.3333333333333333</v>
      </c>
      <c r="D13" s="120">
        <f>POWER(((SQRT(3)*$E$13)/$B$3),2)</f>
        <v>25.520833333333325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8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oIGFuiSmkI2bxhRDsqRNO2qPxdZquSqwRvSCkf6+Ecu6abGVmavns+Q1t30PpN6wda4tfZZakdk4ZUd3mc2zxg==" saltValue="MveWEa0jbNSJfqgfhHWCDA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464" priority="15" operator="greaterThan">
      <formula>$B$12</formula>
    </cfRule>
  </conditionalFormatting>
  <conditionalFormatting sqref="C6">
    <cfRule type="cellIs" dxfId="463" priority="14" operator="greaterThan">
      <formula>$B$12</formula>
    </cfRule>
  </conditionalFormatting>
  <conditionalFormatting sqref="D6">
    <cfRule type="cellIs" dxfId="462" priority="13" operator="greaterThan">
      <formula>$B$12</formula>
    </cfRule>
  </conditionalFormatting>
  <conditionalFormatting sqref="B7">
    <cfRule type="cellIs" dxfId="461" priority="12" operator="greaterThan">
      <formula>$B$12</formula>
    </cfRule>
  </conditionalFormatting>
  <conditionalFormatting sqref="C7">
    <cfRule type="cellIs" dxfId="460" priority="11" operator="greaterThan">
      <formula>$B$12</formula>
    </cfRule>
  </conditionalFormatting>
  <conditionalFormatting sqref="D7">
    <cfRule type="cellIs" dxfId="459" priority="10" operator="greaterThan">
      <formula>$B$12</formula>
    </cfRule>
  </conditionalFormatting>
  <conditionalFormatting sqref="B8">
    <cfRule type="cellIs" dxfId="458" priority="9" operator="greaterThan">
      <formula>$B$12</formula>
    </cfRule>
  </conditionalFormatting>
  <conditionalFormatting sqref="B9">
    <cfRule type="cellIs" dxfId="457" priority="8" operator="greaterThan">
      <formula>$B$12</formula>
    </cfRule>
  </conditionalFormatting>
  <conditionalFormatting sqref="B10">
    <cfRule type="cellIs" dxfId="456" priority="7" operator="greaterThan">
      <formula>$B$12</formula>
    </cfRule>
  </conditionalFormatting>
  <conditionalFormatting sqref="C8">
    <cfRule type="cellIs" dxfId="455" priority="6" operator="greaterThan">
      <formula>$B$12</formula>
    </cfRule>
  </conditionalFormatting>
  <conditionalFormatting sqref="D8">
    <cfRule type="cellIs" dxfId="454" priority="5" operator="greaterThan">
      <formula>$B$12</formula>
    </cfRule>
  </conditionalFormatting>
  <conditionalFormatting sqref="C9">
    <cfRule type="cellIs" dxfId="453" priority="4" operator="greaterThan">
      <formula>$B$12</formula>
    </cfRule>
  </conditionalFormatting>
  <conditionalFormatting sqref="D9">
    <cfRule type="cellIs" dxfId="452" priority="3" operator="greaterThan">
      <formula>$B$12</formula>
    </cfRule>
  </conditionalFormatting>
  <conditionalFormatting sqref="C10">
    <cfRule type="cellIs" dxfId="451" priority="2" operator="greaterThan">
      <formula>$B$12</formula>
    </cfRule>
  </conditionalFormatting>
  <conditionalFormatting sqref="D10">
    <cfRule type="cellIs" dxfId="450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>
      <selection activeCell="G7" sqref="G7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21.4414062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50" t="s">
        <v>77</v>
      </c>
      <c r="B3" s="383">
        <v>1</v>
      </c>
      <c r="C3" s="383"/>
      <c r="D3" s="384"/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1</v>
      </c>
      <c r="C5" s="104">
        <v>3</v>
      </c>
      <c r="D5" s="104">
        <v>6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115.47005383792516</v>
      </c>
      <c r="C6" s="106">
        <f>(((SQRT(C5)*$B$3)/SQRT(3))*$C$15)/$A6</f>
        <v>200</v>
      </c>
      <c r="D6" s="106">
        <f>(((SQRT(D5)*$B$3)/SQRT(3))*$C$15)/$A6</f>
        <v>282.84271247461896</v>
      </c>
      <c r="F6" s="107" t="str">
        <f>_1912b</f>
        <v>Lechler</v>
      </c>
      <c r="G6" s="107" t="str">
        <f>_1912c</f>
        <v>IDKT 120 025</v>
      </c>
      <c r="H6" s="108">
        <f>_1912h</f>
        <v>1.5</v>
      </c>
      <c r="I6" s="109" t="str">
        <f>IF(H6="","","bis")</f>
        <v>bis</v>
      </c>
      <c r="J6" s="110">
        <f>_1912i</f>
        <v>3</v>
      </c>
      <c r="K6" s="111">
        <f>(((SQRT($H6)*$B$3)/SQRT(3))*60000)/($B$12*$B$15)</f>
        <v>4.5866385806694971</v>
      </c>
      <c r="L6" s="109" t="str">
        <f>IF(K6="","","bis")</f>
        <v>bis</v>
      </c>
      <c r="M6" s="112">
        <f>(((SQRT($J6)*$B$3)/SQRT(3))*60000)/($B$12*$B$15)</f>
        <v>6.4864864864864868</v>
      </c>
      <c r="N6" s="110">
        <f>_1912j</f>
        <v>1.5</v>
      </c>
      <c r="O6" s="109" t="str">
        <f>IF(N6="","","bis")</f>
        <v>bis</v>
      </c>
      <c r="P6" s="112">
        <f>_1912k</f>
        <v>2</v>
      </c>
      <c r="Q6" s="111">
        <f>(((SQRT($N6)*$B$3)/SQRT(3))*60000)/($B$12*$B$15)</f>
        <v>4.5866385806694971</v>
      </c>
      <c r="R6" s="109" t="str">
        <f>IF(Q6="","","bis")</f>
        <v>bis</v>
      </c>
      <c r="S6" s="112">
        <f>(((SQRT($P6)*$B$3)/SQRT(3))*60000)/($B$12*$B$15)</f>
        <v>5.2961940384501158</v>
      </c>
      <c r="T6" s="111">
        <f>_1912l</f>
        <v>1.5</v>
      </c>
      <c r="U6" s="109" t="str">
        <f>IF(T6="","","bis")</f>
        <v>bis</v>
      </c>
      <c r="V6" s="110">
        <f>_1912m</f>
        <v>1.5</v>
      </c>
      <c r="W6" s="111">
        <f>(((SQRT($T6)*$B$3)/SQRT(3))*60000)/($B$12*$B$15)</f>
        <v>4.5866385806694971</v>
      </c>
      <c r="X6" s="109" t="str">
        <f>IF(W6="","","bis")</f>
        <v>bis</v>
      </c>
      <c r="Y6" s="110">
        <f>(((SQRT($V6)*$B$3)/SQRT(3))*60000)/($B$12*$B$15)</f>
        <v>4.5866385806694971</v>
      </c>
      <c r="Z6" s="113">
        <f>_1912f</f>
        <v>1.5</v>
      </c>
      <c r="AA6" s="109" t="str">
        <f>IF(Z6="","","bis")</f>
        <v>bis</v>
      </c>
      <c r="AB6" s="114">
        <f>_1912g</f>
        <v>6</v>
      </c>
    </row>
    <row r="7" spans="1:28" ht="18.75" thickBot="1" x14ac:dyDescent="0.3">
      <c r="A7" s="135">
        <v>7</v>
      </c>
      <c r="B7" s="106">
        <f>(((SQRT(B5)*$B$3)/SQRT(3))*$C$15)/$A7</f>
        <v>98.97433186107871</v>
      </c>
      <c r="C7" s="106">
        <f>(((SQRT(C5)*$B$3)/SQRT(3))*$C$15)/$A7</f>
        <v>171.42857142857142</v>
      </c>
      <c r="D7" s="106">
        <f>(((SQRT(D5)*$B$3)/SQRT(3))*$C$15)/$A7</f>
        <v>242.43661069253056</v>
      </c>
      <c r="F7" s="107" t="str">
        <f>_2129b</f>
        <v>Hardi</v>
      </c>
      <c r="G7" s="107" t="str">
        <f>_2129c</f>
        <v>Minidrift Duo 110 025</v>
      </c>
      <c r="H7" s="108">
        <f>_2129h</f>
        <v>1.5</v>
      </c>
      <c r="I7" s="109" t="str">
        <f>IF(H7="","","bis")</f>
        <v>bis</v>
      </c>
      <c r="J7" s="112">
        <f>_2129i</f>
        <v>3</v>
      </c>
      <c r="K7" s="111">
        <f>(((SQRT($H7)*$B$3)/SQRT(3))*60000)/($B$12*$B$15)</f>
        <v>4.5866385806694971</v>
      </c>
      <c r="L7" s="109" t="str">
        <f>IF(K7="","","bis")</f>
        <v>bis</v>
      </c>
      <c r="M7" s="112">
        <f>(((SQRT($J7)*$B$3)/SQRT(3))*60000)/($B$12*$B$15)</f>
        <v>6.4864864864864868</v>
      </c>
      <c r="N7" s="111">
        <f>_2129j</f>
        <v>1.5</v>
      </c>
      <c r="O7" s="109" t="str">
        <f>IF(N7="","","bis")</f>
        <v>bis</v>
      </c>
      <c r="P7" s="112">
        <f>_2129k</f>
        <v>2</v>
      </c>
      <c r="Q7" s="111">
        <f>(((SQRT($N7)*$B$3)/SQRT(3))*60000)/($B$12*$B$15)</f>
        <v>4.5866385806694971</v>
      </c>
      <c r="R7" s="109" t="str">
        <f>IF(Q7="","","bis")</f>
        <v>bis</v>
      </c>
      <c r="S7" s="112">
        <f>(((SQRT($P7)*$B$3)/SQRT(3))*60000)/($B$12*$B$15)</f>
        <v>5.2961940384501158</v>
      </c>
      <c r="T7" s="111">
        <f>_2129l</f>
        <v>1.5</v>
      </c>
      <c r="U7" s="109" t="str">
        <f>IF(T7="","","bis")</f>
        <v>bis</v>
      </c>
      <c r="V7" s="112">
        <f>_2129m</f>
        <v>1.5</v>
      </c>
      <c r="W7" s="111">
        <f>(((SQRT($T7)*$B$3)/SQRT(3))*60000)/($B$12*$B$15)</f>
        <v>4.5866385806694971</v>
      </c>
      <c r="X7" s="109" t="str">
        <f>IF(W7="","","bis")</f>
        <v>bis</v>
      </c>
      <c r="Y7" s="112">
        <f>(((SQRT($V7)*$B$3)/SQRT(3))*60000)/($B$12*$B$15)</f>
        <v>4.5866385806694971</v>
      </c>
      <c r="Z7" s="113">
        <f>_2129f</f>
        <v>1.5</v>
      </c>
      <c r="AA7" s="109" t="str">
        <f>IF(Z7="","","bis")</f>
        <v>bis</v>
      </c>
      <c r="AB7" s="114">
        <f>_2129g</f>
        <v>6</v>
      </c>
    </row>
    <row r="8" spans="1:28" ht="18.75" thickBot="1" x14ac:dyDescent="0.3">
      <c r="A8" s="135">
        <v>8</v>
      </c>
      <c r="B8" s="106">
        <f>(((SQRT(B5)*$B$3)/SQRT(3))*$C$15)/$A8</f>
        <v>86.602540378443877</v>
      </c>
      <c r="C8" s="106">
        <f>(((SQRT(C5)*$B$3)/SQRT(3))*1200)/$A8</f>
        <v>150</v>
      </c>
      <c r="D8" s="106">
        <f>(((SQRT(D5)*$B$3)/SQRT(3))*1200)/$A8</f>
        <v>212.13203435596424</v>
      </c>
      <c r="F8" s="107"/>
      <c r="G8" s="107"/>
      <c r="H8" s="108"/>
      <c r="I8" s="109" t="str">
        <f>IF(H8="","","bis")</f>
        <v/>
      </c>
      <c r="J8" s="112"/>
      <c r="K8" s="111">
        <f>(((SQRT($H8)*$B$3)/SQRT(3))*60000)/($B$12*$B$15)</f>
        <v>0</v>
      </c>
      <c r="L8" s="109" t="str">
        <f>IF(K8="","","bis")</f>
        <v>bis</v>
      </c>
      <c r="M8" s="112">
        <f>(((SQRT($J8)*$B$3)/SQRT(3))*60000)/($B$12*$B$15)</f>
        <v>0</v>
      </c>
      <c r="N8" s="111"/>
      <c r="O8" s="109" t="str">
        <f>IF(N8="","","bis")</f>
        <v/>
      </c>
      <c r="P8" s="112"/>
      <c r="Q8" s="111">
        <f>(((SQRT($N8)*$B$3)/SQRT(3))*60000)/($B$12*$B$15)</f>
        <v>0</v>
      </c>
      <c r="R8" s="109" t="str">
        <f>IF(Q8="","","bis")</f>
        <v>bis</v>
      </c>
      <c r="S8" s="112">
        <f>(((SQRT($P8)*$B$3)/SQRT(3))*60000)/($B$12*$B$15)</f>
        <v>0</v>
      </c>
      <c r="T8" s="111"/>
      <c r="U8" s="109" t="str">
        <f>IF(T8="","","bis")</f>
        <v/>
      </c>
      <c r="V8" s="112"/>
      <c r="W8" s="111">
        <f>(((SQRT($T8)*$B$3)/SQRT(3))*60000)/($B$12*$B$15)</f>
        <v>0</v>
      </c>
      <c r="X8" s="109" t="str">
        <f>IF(W8="","","bis")</f>
        <v>bis</v>
      </c>
      <c r="Y8" s="112">
        <f>(((SQRT($V8)*$B$3)/SQRT(3))*60000)/($B$12*$B$15)</f>
        <v>0</v>
      </c>
      <c r="Z8" s="113"/>
      <c r="AA8" s="109" t="str">
        <f>IF(Z8="","","bis")</f>
        <v/>
      </c>
      <c r="AB8" s="114"/>
    </row>
    <row r="9" spans="1:28" ht="18.75" thickBot="1" x14ac:dyDescent="0.3">
      <c r="A9" s="135">
        <v>9</v>
      </c>
      <c r="B9" s="106">
        <f>(((SQRT(B5)*$B$3)/SQRT(3))*$C$15)/$A9</f>
        <v>76.980035891950109</v>
      </c>
      <c r="C9" s="106">
        <f>(((SQRT(C5)*$B$3)/SQRT(3))*$C$15)/$A9</f>
        <v>133.33333333333334</v>
      </c>
      <c r="D9" s="106">
        <f>(((SQRT(D5)*$B$3)/SQRT(3))*$C$15)/$A9</f>
        <v>188.56180831641265</v>
      </c>
      <c r="F9" s="107"/>
      <c r="G9" s="107"/>
      <c r="H9" s="108"/>
      <c r="I9" s="109" t="str">
        <f>IF(H9="","","bis")</f>
        <v/>
      </c>
      <c r="J9" s="112"/>
      <c r="K9" s="111">
        <f>(((SQRT($H9)*$B$3)/SQRT(3))*60000)/($B$12*$B$15)</f>
        <v>0</v>
      </c>
      <c r="L9" s="109" t="str">
        <f>IF(K9="","","bis")</f>
        <v>bis</v>
      </c>
      <c r="M9" s="112">
        <f>(((SQRT($J9)*$B$3)/SQRT(3))*60000)/($B$12*$B$15)</f>
        <v>0</v>
      </c>
      <c r="N9" s="111"/>
      <c r="O9" s="109" t="str">
        <f>IF(N9="","","bis")</f>
        <v/>
      </c>
      <c r="P9" s="112"/>
      <c r="Q9" s="111">
        <f>(((SQRT($N9)*$B$3)/SQRT(3))*60000)/($B$12*$B$15)</f>
        <v>0</v>
      </c>
      <c r="R9" s="109" t="str">
        <f>IF(Q9="","","bis")</f>
        <v>bis</v>
      </c>
      <c r="S9" s="112">
        <f>(((SQRT($P9)*$B$3)/SQRT(3))*60000)/($B$12*$B$15)</f>
        <v>0</v>
      </c>
      <c r="T9" s="111"/>
      <c r="U9" s="109" t="str">
        <f>IF(T9="","","bis")</f>
        <v/>
      </c>
      <c r="V9" s="110"/>
      <c r="W9" s="111">
        <f>(((SQRT($T9)*$B$3)/SQRT(3))*60000)/($B$12*$B$15)</f>
        <v>0</v>
      </c>
      <c r="X9" s="109" t="str">
        <f>IF(W9="","","bis")</f>
        <v>bis</v>
      </c>
      <c r="Y9" s="112">
        <f>(((SQRT($V9)*$B$3)/SQRT(3))*60000)/($B$12*$B$15)</f>
        <v>0</v>
      </c>
      <c r="Z9" s="113"/>
      <c r="AA9" s="109" t="str">
        <f>IF(Z9="","","bis")</f>
        <v/>
      </c>
      <c r="AB9" s="114"/>
    </row>
    <row r="10" spans="1:28" ht="18.75" thickBot="1" x14ac:dyDescent="0.3">
      <c r="A10" s="136">
        <v>10</v>
      </c>
      <c r="B10" s="115">
        <f>(((SQRT(B5)*$B$3)/SQRT(3))*$C$15)/$A10</f>
        <v>69.282032302755098</v>
      </c>
      <c r="C10" s="115">
        <f>(((SQRT(C5)*$B$3)/SQRT(3))*$C$15)/$A10</f>
        <v>120</v>
      </c>
      <c r="D10" s="115">
        <f>(((SQRT(D5)*$B$3)/SQRT(3))*$C$15)/$A10</f>
        <v>169.70562748477138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185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2.566875</v>
      </c>
      <c r="C13" s="124">
        <f>(B12*B14*B15)/60000</f>
        <v>0.92500000000000004</v>
      </c>
      <c r="D13" s="120">
        <f>POWER(((SQRT(3)*$E$13)/$B$3),2)</f>
        <v>25.520833333333325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6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szjqnBl5EJ+wCdKoQ4WjXpYC1802Al/hXBUOVYFswSHCyt6AwFKsIeY5PC+dp8m1E2jCOXM4hFE/FqHc2U9a/A==" saltValue="UGxxdcp5bWOqj3djdJB4bg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449" priority="15" operator="greaterThan">
      <formula>$B$12</formula>
    </cfRule>
  </conditionalFormatting>
  <conditionalFormatting sqref="C6">
    <cfRule type="cellIs" dxfId="448" priority="14" operator="greaterThan">
      <formula>$B$12</formula>
    </cfRule>
  </conditionalFormatting>
  <conditionalFormatting sqref="D6">
    <cfRule type="cellIs" dxfId="447" priority="13" operator="greaterThan">
      <formula>$B$12</formula>
    </cfRule>
  </conditionalFormatting>
  <conditionalFormatting sqref="B7">
    <cfRule type="cellIs" dxfId="446" priority="12" operator="greaterThan">
      <formula>$B$12</formula>
    </cfRule>
  </conditionalFormatting>
  <conditionalFormatting sqref="C7">
    <cfRule type="cellIs" dxfId="445" priority="11" operator="greaterThan">
      <formula>$B$12</formula>
    </cfRule>
  </conditionalFormatting>
  <conditionalFormatting sqref="D7">
    <cfRule type="cellIs" dxfId="444" priority="10" operator="greaterThan">
      <formula>$B$12</formula>
    </cfRule>
  </conditionalFormatting>
  <conditionalFormatting sqref="B8">
    <cfRule type="cellIs" dxfId="443" priority="9" operator="greaterThan">
      <formula>$B$12</formula>
    </cfRule>
  </conditionalFormatting>
  <conditionalFormatting sqref="B9">
    <cfRule type="cellIs" dxfId="442" priority="8" operator="greaterThan">
      <formula>$B$12</formula>
    </cfRule>
  </conditionalFormatting>
  <conditionalFormatting sqref="B10">
    <cfRule type="cellIs" dxfId="441" priority="7" operator="greaterThan">
      <formula>$B$12</formula>
    </cfRule>
  </conditionalFormatting>
  <conditionalFormatting sqref="C8">
    <cfRule type="cellIs" dxfId="440" priority="6" operator="greaterThan">
      <formula>$B$12</formula>
    </cfRule>
  </conditionalFormatting>
  <conditionalFormatting sqref="D8">
    <cfRule type="cellIs" dxfId="439" priority="5" operator="greaterThan">
      <formula>$B$12</formula>
    </cfRule>
  </conditionalFormatting>
  <conditionalFormatting sqref="C9">
    <cfRule type="cellIs" dxfId="438" priority="4" operator="greaterThan">
      <formula>$B$12</formula>
    </cfRule>
  </conditionalFormatting>
  <conditionalFormatting sqref="D9">
    <cfRule type="cellIs" dxfId="437" priority="3" operator="greaterThan">
      <formula>$B$12</formula>
    </cfRule>
  </conditionalFormatting>
  <conditionalFormatting sqref="C10">
    <cfRule type="cellIs" dxfId="436" priority="2" operator="greaterThan">
      <formula>$B$12</formula>
    </cfRule>
  </conditionalFormatting>
  <conditionalFormatting sqref="D10">
    <cfRule type="cellIs" dxfId="435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zoomScale="80" zoomScaleNormal="80" workbookViewId="0">
      <selection activeCell="A3" sqref="A3:D3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7.5546875" style="63" bestFit="1" customWidth="1"/>
    <col min="4" max="4" width="10.109375" style="63" bestFit="1" customWidth="1"/>
    <col min="5" max="5" width="8.88671875" style="63"/>
    <col min="6" max="6" width="14.5546875" style="63" bestFit="1" customWidth="1"/>
    <col min="7" max="7" width="24.5546875" style="63" bestFit="1" customWidth="1"/>
    <col min="8" max="14" width="5.21875" style="63" customWidth="1"/>
    <col min="15" max="20" width="5.21875" style="100" customWidth="1"/>
    <col min="21" max="28" width="5.21875" style="63" customWidth="1"/>
    <col min="29" max="16384" width="8.88671875" style="63"/>
  </cols>
  <sheetData>
    <row r="1" spans="1:28" x14ac:dyDescent="0.25">
      <c r="A1" s="99"/>
    </row>
    <row r="2" spans="1:28" ht="18.75" thickBot="1" x14ac:dyDescent="0.3"/>
    <row r="3" spans="1:28" ht="18.75" thickBot="1" x14ac:dyDescent="0.3">
      <c r="A3" s="150" t="s">
        <v>77</v>
      </c>
      <c r="B3" s="383">
        <v>1</v>
      </c>
      <c r="C3" s="383"/>
      <c r="D3" s="384"/>
      <c r="E3" s="63" t="s">
        <v>79</v>
      </c>
    </row>
    <row r="4" spans="1:28" ht="18.75" thickBot="1" x14ac:dyDescent="0.3">
      <c r="H4" s="204">
        <v>50</v>
      </c>
      <c r="I4" s="205"/>
      <c r="J4" s="205"/>
      <c r="K4" s="205"/>
      <c r="L4" s="205"/>
      <c r="M4" s="385"/>
      <c r="N4" s="206">
        <v>75</v>
      </c>
      <c r="O4" s="206"/>
      <c r="P4" s="206"/>
      <c r="Q4" s="206"/>
      <c r="R4" s="206"/>
      <c r="S4" s="386"/>
      <c r="T4" s="207">
        <v>90</v>
      </c>
      <c r="U4" s="208"/>
      <c r="V4" s="208"/>
      <c r="W4" s="208"/>
      <c r="X4" s="208"/>
      <c r="Y4" s="387"/>
      <c r="Z4" s="388" t="s">
        <v>53</v>
      </c>
      <c r="AA4" s="389"/>
      <c r="AB4" s="390"/>
    </row>
    <row r="5" spans="1:28" ht="18.75" thickBot="1" x14ac:dyDescent="0.3">
      <c r="A5" s="102" t="s">
        <v>54</v>
      </c>
      <c r="B5" s="103">
        <v>2</v>
      </c>
      <c r="C5" s="104">
        <v>5</v>
      </c>
      <c r="D5" s="104">
        <v>8</v>
      </c>
      <c r="F5" s="102" t="s">
        <v>55</v>
      </c>
      <c r="G5" s="102" t="s">
        <v>56</v>
      </c>
      <c r="H5" s="394" t="s">
        <v>57</v>
      </c>
      <c r="I5" s="395"/>
      <c r="J5" s="396"/>
      <c r="K5" s="204" t="s">
        <v>58</v>
      </c>
      <c r="L5" s="205"/>
      <c r="M5" s="385"/>
      <c r="N5" s="397" t="s">
        <v>57</v>
      </c>
      <c r="O5" s="206"/>
      <c r="P5" s="386"/>
      <c r="Q5" s="397" t="s">
        <v>58</v>
      </c>
      <c r="R5" s="206"/>
      <c r="S5" s="386"/>
      <c r="T5" s="207" t="s">
        <v>57</v>
      </c>
      <c r="U5" s="208"/>
      <c r="V5" s="387"/>
      <c r="W5" s="398" t="s">
        <v>58</v>
      </c>
      <c r="X5" s="399"/>
      <c r="Y5" s="400"/>
      <c r="Z5" s="391"/>
      <c r="AA5" s="392"/>
      <c r="AB5" s="393"/>
    </row>
    <row r="6" spans="1:28" ht="18.75" thickBot="1" x14ac:dyDescent="0.3">
      <c r="A6" s="134">
        <v>6</v>
      </c>
      <c r="B6" s="106">
        <f>(((SQRT(B5)*$B$3)/SQRT(3))*$C$15)/$A6</f>
        <v>163.29931618554522</v>
      </c>
      <c r="C6" s="106">
        <f>(((SQRT(C5)*$B$3)/SQRT(3))*$C$15)/$A6</f>
        <v>258.19888974716116</v>
      </c>
      <c r="D6" s="106">
        <f>(((SQRT(D5)*$B$3)/SQRT(3))*$C$15)/$A6</f>
        <v>326.59863237109045</v>
      </c>
      <c r="F6" s="107" t="str">
        <f>_2015b</f>
        <v>Lechler</v>
      </c>
      <c r="G6" s="107" t="str">
        <f>_2015c</f>
        <v>IDTA 120 025 C</v>
      </c>
      <c r="H6" s="108">
        <f>_2015h</f>
        <v>0</v>
      </c>
      <c r="I6" s="109" t="str">
        <f>IF(H6="","","bis")</f>
        <v>bis</v>
      </c>
      <c r="J6" s="110">
        <f>_2015i</f>
        <v>0</v>
      </c>
      <c r="K6" s="111">
        <f>(((SQRT($H6)*$B$3)/SQRT(3))*60000)/($B$12*$B$15)</f>
        <v>0</v>
      </c>
      <c r="L6" s="109" t="str">
        <f>IF(K6="","","bis")</f>
        <v>bis</v>
      </c>
      <c r="M6" s="112">
        <f>(((SQRT($J6)*$B$3)/SQRT(3))*60000)/($B$12*$B$15)</f>
        <v>0</v>
      </c>
      <c r="N6" s="110">
        <f>_2015j</f>
        <v>0</v>
      </c>
      <c r="O6" s="109" t="str">
        <f>IF(N6="","","bis")</f>
        <v>bis</v>
      </c>
      <c r="P6" s="112">
        <f>_2015k</f>
        <v>0</v>
      </c>
      <c r="Q6" s="111">
        <f>(((SQRT($N6)*$B$3)/SQRT(3))*60000)/($B$12*$B$15)</f>
        <v>0</v>
      </c>
      <c r="R6" s="109" t="str">
        <f>IF(Q6="","","bis")</f>
        <v>bis</v>
      </c>
      <c r="S6" s="112">
        <f>(((SQRT($P6)*$B$3)/SQRT(3))*60000)/($B$12*$B$15)</f>
        <v>0</v>
      </c>
      <c r="T6" s="111">
        <f>_2015l</f>
        <v>1.5</v>
      </c>
      <c r="U6" s="109" t="str">
        <f>IF(T6="","","bis")</f>
        <v>bis</v>
      </c>
      <c r="V6" s="110">
        <f>_2015m</f>
        <v>2</v>
      </c>
      <c r="W6" s="111">
        <f>(((SQRT($T6)*$B$3)/SQRT(3))*60000)/($B$12*$B$15)</f>
        <v>4.2426406871192848</v>
      </c>
      <c r="X6" s="109" t="str">
        <f>IF(W6="","","bis")</f>
        <v>bis</v>
      </c>
      <c r="Y6" s="110">
        <f>(((SQRT($V6)*$B$3)/SQRT(3))*60000)/($B$12*$B$15)</f>
        <v>4.8989794855663567</v>
      </c>
      <c r="Z6" s="113">
        <f>_2015f</f>
        <v>1.5</v>
      </c>
      <c r="AA6" s="109" t="str">
        <f>IF(Z6="","","bis")</f>
        <v>bis</v>
      </c>
      <c r="AB6" s="114">
        <f>_2015g</f>
        <v>8</v>
      </c>
    </row>
    <row r="7" spans="1:28" ht="18.75" thickBot="1" x14ac:dyDescent="0.3">
      <c r="A7" s="135">
        <v>7</v>
      </c>
      <c r="B7" s="106">
        <f>(((SQRT(B5)*$B$3)/SQRT(3))*$C$15)/$A7</f>
        <v>139.97084244475306</v>
      </c>
      <c r="C7" s="106">
        <f>(((SQRT(C5)*$B$3)/SQRT(3))*$C$15)/$A7</f>
        <v>221.31333406899529</v>
      </c>
      <c r="D7" s="106">
        <f>(((SQRT(D5)*$B$3)/SQRT(3))*$C$15)/$A7</f>
        <v>279.94168488950612</v>
      </c>
      <c r="F7" s="107" t="str">
        <f>_2217b</f>
        <v>Lechler</v>
      </c>
      <c r="G7" s="107" t="str">
        <f>_2217c</f>
        <v>PSAULDCQ20025</v>
      </c>
      <c r="H7" s="108">
        <f>_2217h</f>
        <v>0</v>
      </c>
      <c r="I7" s="109" t="str">
        <f>IF(H7="","","bis")</f>
        <v>bis</v>
      </c>
      <c r="J7" s="112">
        <f>_2217i</f>
        <v>0</v>
      </c>
      <c r="K7" s="111">
        <f>(((SQRT($H7)*$B$3)/SQRT(3))*60000)/($B$12*$B$15)</f>
        <v>0</v>
      </c>
      <c r="L7" s="109" t="str">
        <f>IF(K7="","","bis")</f>
        <v>bis</v>
      </c>
      <c r="M7" s="112">
        <f>(((SQRT($J7)*$B$3)/SQRT(3))*60000)/($B$12*$B$15)</f>
        <v>0</v>
      </c>
      <c r="N7" s="111">
        <f>_2217j</f>
        <v>0</v>
      </c>
      <c r="O7" s="109" t="str">
        <f>IF(N7="","","bis")</f>
        <v>bis</v>
      </c>
      <c r="P7" s="112">
        <f>_2217k</f>
        <v>0</v>
      </c>
      <c r="Q7" s="111">
        <f>(((SQRT($N7)*$B$3)/SQRT(3))*60000)/($B$12*$B$15)</f>
        <v>0</v>
      </c>
      <c r="R7" s="109" t="str">
        <f>IF(Q7="","","bis")</f>
        <v>bis</v>
      </c>
      <c r="S7" s="112">
        <f>(((SQRT($P7)*$B$3)/SQRT(3))*60000)/($B$12*$B$15)</f>
        <v>0</v>
      </c>
      <c r="T7" s="111">
        <f>_2217k</f>
        <v>0</v>
      </c>
      <c r="U7" s="109" t="str">
        <f>IF(T7="","","bis")</f>
        <v>bis</v>
      </c>
      <c r="V7" s="112">
        <f>_2217k</f>
        <v>0</v>
      </c>
      <c r="W7" s="111">
        <f>(((SQRT($T7)*$B$3)/SQRT(3))*60000)/($B$12*$B$15)</f>
        <v>0</v>
      </c>
      <c r="X7" s="109" t="str">
        <f>IF(W7="","","bis")</f>
        <v>bis</v>
      </c>
      <c r="Y7" s="112">
        <f>(((SQRT($V7)*$B$3)/SQRT(3))*60000)/($B$12*$B$15)</f>
        <v>0</v>
      </c>
      <c r="Z7" s="113">
        <f>_2217f</f>
        <v>1.5</v>
      </c>
      <c r="AA7" s="109" t="str">
        <f>IF(Z7="","","bis")</f>
        <v>bis</v>
      </c>
      <c r="AB7" s="114">
        <f>_2217g</f>
        <v>8</v>
      </c>
    </row>
    <row r="8" spans="1:28" ht="18.75" thickBot="1" x14ac:dyDescent="0.3">
      <c r="A8" s="135">
        <v>8</v>
      </c>
      <c r="B8" s="106">
        <f>(((SQRT(B5)*$B$3)/SQRT(3))*$C$15)/$A8</f>
        <v>122.47448713915892</v>
      </c>
      <c r="C8" s="106">
        <f>(((SQRT(C5)*$B$3)/SQRT(3))*1200)/$A8</f>
        <v>193.64916731037087</v>
      </c>
      <c r="D8" s="106">
        <f>(((SQRT(D5)*$B$3)/SQRT(3))*1200)/$A8</f>
        <v>244.94897427831785</v>
      </c>
      <c r="F8" s="107" t="str">
        <f>_2048b</f>
        <v>TeeJet</v>
      </c>
      <c r="G8" s="107" t="str">
        <f>_2048c</f>
        <v>TTI60-110 025 VP-C</v>
      </c>
      <c r="H8" s="108">
        <f>_2048h</f>
        <v>1.5</v>
      </c>
      <c r="I8" s="109" t="str">
        <f>IF(H8="","","bis")</f>
        <v>bis</v>
      </c>
      <c r="J8" s="112">
        <f>_2048i</f>
        <v>5</v>
      </c>
      <c r="K8" s="111">
        <f>(((SQRT($H8)*$B$3)/SQRT(3))*60000)/($B$12*$B$15)</f>
        <v>4.2426406871192848</v>
      </c>
      <c r="L8" s="109" t="str">
        <f>IF(K8="","","bis")</f>
        <v>bis</v>
      </c>
      <c r="M8" s="112">
        <f>(((SQRT($J8)*$B$3)/SQRT(3))*60000)/($B$12*$B$15)</f>
        <v>7.7459666924148349</v>
      </c>
      <c r="N8" s="111">
        <f>_2048j</f>
        <v>1.5</v>
      </c>
      <c r="O8" s="109" t="str">
        <f>IF(N8="","","bis")</f>
        <v>bis</v>
      </c>
      <c r="P8" s="112">
        <f>_2048k</f>
        <v>3</v>
      </c>
      <c r="Q8" s="111">
        <f>(((SQRT($N8)*$B$3)/SQRT(3))*60000)/($B$12*$B$15)</f>
        <v>4.2426406871192848</v>
      </c>
      <c r="R8" s="109" t="str">
        <f>IF(Q8="","","bis")</f>
        <v>bis</v>
      </c>
      <c r="S8" s="112">
        <f>(((SQRT($P8)*$B$3)/SQRT(3))*60000)/($B$12*$B$15)</f>
        <v>6</v>
      </c>
      <c r="T8" s="111">
        <f>_2048l</f>
        <v>1.5</v>
      </c>
      <c r="U8" s="109" t="str">
        <f>IF(T8="","","bis")</f>
        <v>bis</v>
      </c>
      <c r="V8" s="112">
        <f>_2048m</f>
        <v>1.5</v>
      </c>
      <c r="W8" s="111">
        <f>(((SQRT($T8)*$B$3)/SQRT(3))*60000)/($B$12*$B$15)</f>
        <v>4.2426406871192848</v>
      </c>
      <c r="X8" s="109" t="str">
        <f>IF(W8="","","bis")</f>
        <v>bis</v>
      </c>
      <c r="Y8" s="112">
        <f>(((SQRT($V8)*$B$3)/SQRT(3))*60000)/($B$12*$B$15)</f>
        <v>4.2426406871192848</v>
      </c>
      <c r="Z8" s="113">
        <f>_2048f</f>
        <v>1.5</v>
      </c>
      <c r="AA8" s="109" t="str">
        <f>IF(Z8="","","bis")</f>
        <v>bis</v>
      </c>
      <c r="AB8" s="114">
        <f>_2048g</f>
        <v>7</v>
      </c>
    </row>
    <row r="9" spans="1:28" ht="18.75" thickBot="1" x14ac:dyDescent="0.3">
      <c r="A9" s="135">
        <v>9</v>
      </c>
      <c r="B9" s="106">
        <f>(((SQRT(B5)*$B$3)/SQRT(3))*$C$15)/$A9</f>
        <v>108.86621079036348</v>
      </c>
      <c r="C9" s="106">
        <f>(((SQRT(C5)*$B$3)/SQRT(3))*$C$15)/$A9</f>
        <v>172.13259316477411</v>
      </c>
      <c r="D9" s="106">
        <f>(((SQRT(D5)*$B$3)/SQRT(3))*$C$15)/$A9</f>
        <v>217.73242158072696</v>
      </c>
      <c r="F9" s="107" t="str">
        <f>_1896b</f>
        <v>Agrotop</v>
      </c>
      <c r="G9" s="107" t="str">
        <f>_1896c</f>
        <v>TurboDrop HiSpeed 025</v>
      </c>
      <c r="H9" s="108">
        <f>_1896h</f>
        <v>2.5</v>
      </c>
      <c r="I9" s="109" t="str">
        <f>IF(H9="","","bis")</f>
        <v>bis</v>
      </c>
      <c r="J9" s="112">
        <f>_1896i</f>
        <v>6</v>
      </c>
      <c r="K9" s="111">
        <f>(((SQRT($H9)*$B$3)/SQRT(3))*60000)/($B$12*$B$15)</f>
        <v>5.4772255750516621</v>
      </c>
      <c r="L9" s="109" t="str">
        <f>IF(K9="","","bis")</f>
        <v>bis</v>
      </c>
      <c r="M9" s="112">
        <f>(((SQRT($J9)*$B$3)/SQRT(3))*60000)/($B$12*$B$15)</f>
        <v>8.4852813742385695</v>
      </c>
      <c r="N9" s="111">
        <f>_1896j</f>
        <v>2.5</v>
      </c>
      <c r="O9" s="109" t="str">
        <f>IF(N9="","","bis")</f>
        <v>bis</v>
      </c>
      <c r="P9" s="112">
        <f>_1896k</f>
        <v>3.5</v>
      </c>
      <c r="Q9" s="111">
        <f>(((SQRT($N9)*$B$3)/SQRT(3))*60000)/($B$12*$B$15)</f>
        <v>5.4772255750516621</v>
      </c>
      <c r="R9" s="109" t="str">
        <f>IF(Q9="","","bis")</f>
        <v>bis</v>
      </c>
      <c r="S9" s="112">
        <f>(((SQRT($P9)*$B$3)/SQRT(3))*60000)/($B$12*$B$15)</f>
        <v>6.4807406984078613</v>
      </c>
      <c r="T9" s="111">
        <f>_1896l</f>
        <v>2.5</v>
      </c>
      <c r="U9" s="109" t="str">
        <f>IF(T9="","","bis")</f>
        <v>bis</v>
      </c>
      <c r="V9" s="110">
        <f>_1896m</f>
        <v>2.5</v>
      </c>
      <c r="W9" s="111">
        <f>(((SQRT($T9)*$B$3)/SQRT(3))*60000)/($B$12*$B$15)</f>
        <v>5.4772255750516621</v>
      </c>
      <c r="X9" s="109" t="str">
        <f>IF(W9="","","bis")</f>
        <v>bis</v>
      </c>
      <c r="Y9" s="112">
        <f>(((SQRT($V9)*$B$3)/SQRT(3))*60000)/($B$12*$B$15)</f>
        <v>5.4772255750516621</v>
      </c>
      <c r="Z9" s="113">
        <f>_1896f</f>
        <v>2.5</v>
      </c>
      <c r="AA9" s="109" t="str">
        <f>IF(Z9="","","bis")</f>
        <v>bis</v>
      </c>
      <c r="AB9" s="114">
        <f>_1896g</f>
        <v>8</v>
      </c>
    </row>
    <row r="10" spans="1:28" ht="18.75" thickBot="1" x14ac:dyDescent="0.3">
      <c r="A10" s="136">
        <v>10</v>
      </c>
      <c r="B10" s="115">
        <f>(((SQRT(B5)*$B$3)/SQRT(3))*$C$15)/$A10</f>
        <v>97.979589711327137</v>
      </c>
      <c r="C10" s="115">
        <f>(((SQRT(C5)*$B$3)/SQRT(3))*$C$15)/$A10</f>
        <v>154.9193338482967</v>
      </c>
      <c r="D10" s="115">
        <f>(((SQRT(D5)*$B$3)/SQRT(3))*$C$15)/$A10</f>
        <v>195.95917942265427</v>
      </c>
      <c r="F10" s="107"/>
      <c r="G10" s="107"/>
      <c r="H10" s="108"/>
      <c r="I10" s="109" t="str">
        <f>IF(H10="","","bis")</f>
        <v/>
      </c>
      <c r="J10" s="112"/>
      <c r="K10" s="111">
        <f>(((SQRT($H10)*$B$3)/SQRT(3))*60000)/($B$12*$B$15)</f>
        <v>0</v>
      </c>
      <c r="L10" s="109" t="str">
        <f>IF(K10="","","bis")</f>
        <v>bis</v>
      </c>
      <c r="M10" s="112">
        <f>(((SQRT($J10)*$B$3)/SQRT(3))*60000)/($B$12*$B$15)</f>
        <v>0</v>
      </c>
      <c r="N10" s="111"/>
      <c r="O10" s="109" t="str">
        <f>IF(N10="","","bis")</f>
        <v/>
      </c>
      <c r="P10" s="112"/>
      <c r="Q10" s="111">
        <f>(((SQRT($N10)*$B$3)/SQRT(3))*60000)/($B$12*$B$15)</f>
        <v>0</v>
      </c>
      <c r="R10" s="109" t="str">
        <f>IF(Q10="","","bis")</f>
        <v>bis</v>
      </c>
      <c r="S10" s="112">
        <f>(((SQRT($P10)*$B$3)/SQRT(3))*60000)/($B$12*$B$15)</f>
        <v>0</v>
      </c>
      <c r="T10" s="111"/>
      <c r="U10" s="109" t="str">
        <f>IF(T10="","","bis")</f>
        <v/>
      </c>
      <c r="V10" s="112"/>
      <c r="W10" s="111">
        <f>(((SQRT($T10)*$B$3)/SQRT(3))*60000)/($B$12*$B$15)</f>
        <v>0</v>
      </c>
      <c r="X10" s="109" t="str">
        <f>IF(W10="","","bis")</f>
        <v>bis</v>
      </c>
      <c r="Y10" s="112">
        <f>(((SQRT($V10)*$B$3)/SQRT(3))*60000)/($B$12*$B$15)</f>
        <v>0</v>
      </c>
      <c r="Z10" s="113"/>
      <c r="AA10" s="109" t="str">
        <f>IF(Z10="","","bis")</f>
        <v/>
      </c>
      <c r="AB10" s="114"/>
    </row>
    <row r="11" spans="1:28" ht="18.75" thickBot="1" x14ac:dyDescent="0.3">
      <c r="J11" s="116"/>
    </row>
    <row r="12" spans="1:28" ht="18.75" thickBot="1" x14ac:dyDescent="0.3">
      <c r="A12" s="117" t="s">
        <v>60</v>
      </c>
      <c r="B12" s="64">
        <v>200</v>
      </c>
      <c r="C12" s="66"/>
      <c r="D12" s="145">
        <f>Tabelle1!A2</f>
        <v>1000</v>
      </c>
    </row>
    <row r="13" spans="1:28" ht="18.75" thickBot="1" x14ac:dyDescent="0.3">
      <c r="A13" s="117" t="s">
        <v>61</v>
      </c>
      <c r="B13" s="120">
        <f>POWER(((SQRT(3)*$C$13)/$B$3),2)</f>
        <v>5.333333333333333</v>
      </c>
      <c r="C13" s="124">
        <f>(B12*B14*B15)/60000</f>
        <v>1.3333333333333333</v>
      </c>
      <c r="D13" s="120">
        <f>POWER(((SQRT(3)*$E$13)/$B$3),2)</f>
        <v>25.520833333333325</v>
      </c>
      <c r="E13" s="124">
        <f>(D12*D14*D15)/60000</f>
        <v>2.9166666666666665</v>
      </c>
    </row>
    <row r="14" spans="1:28" ht="18.75" thickBot="1" x14ac:dyDescent="0.3">
      <c r="A14" s="117" t="s">
        <v>62</v>
      </c>
      <c r="B14" s="78">
        <v>8</v>
      </c>
      <c r="D14" s="146">
        <f>Tabelle1!A4</f>
        <v>3.5</v>
      </c>
    </row>
    <row r="15" spans="1:28" ht="18.75" thickBot="1" x14ac:dyDescent="0.3">
      <c r="A15" s="117" t="s">
        <v>72</v>
      </c>
      <c r="B15" s="84">
        <v>50</v>
      </c>
      <c r="C15" s="124">
        <f>(60000/B15)</f>
        <v>1200</v>
      </c>
      <c r="D15" s="84">
        <v>50</v>
      </c>
    </row>
  </sheetData>
  <sheetProtection algorithmName="SHA-512" hashValue="r2uJ/p9+ZM2XWtReWR1mpJKZrCudyTHsgXR0VnvT5WqUZOR73vvhCUbo+/pUOxBKC1tJ5DH7dlmtwUjGN6GyIg==" saltValue="0o1+y+ayHVlWDhr8BZmdrQ==" spinCount="100000" sheet="1" objects="1" scenarios="1"/>
  <mergeCells count="11">
    <mergeCell ref="B3:D3"/>
    <mergeCell ref="H4:M4"/>
    <mergeCell ref="N4:S4"/>
    <mergeCell ref="T4:Y4"/>
    <mergeCell ref="Z4:AB5"/>
    <mergeCell ref="H5:J5"/>
    <mergeCell ref="K5:M5"/>
    <mergeCell ref="N5:P5"/>
    <mergeCell ref="Q5:S5"/>
    <mergeCell ref="T5:V5"/>
    <mergeCell ref="W5:Y5"/>
  </mergeCells>
  <conditionalFormatting sqref="B6">
    <cfRule type="cellIs" dxfId="434" priority="15" operator="greaterThan">
      <formula>$B$12</formula>
    </cfRule>
  </conditionalFormatting>
  <conditionalFormatting sqref="C6">
    <cfRule type="cellIs" dxfId="433" priority="14" operator="greaterThan">
      <formula>$B$12</formula>
    </cfRule>
  </conditionalFormatting>
  <conditionalFormatting sqref="D6">
    <cfRule type="cellIs" dxfId="432" priority="13" operator="greaterThan">
      <formula>$B$12</formula>
    </cfRule>
  </conditionalFormatting>
  <conditionalFormatting sqref="B7">
    <cfRule type="cellIs" dxfId="431" priority="12" operator="greaterThan">
      <formula>$B$12</formula>
    </cfRule>
  </conditionalFormatting>
  <conditionalFormatting sqref="C7">
    <cfRule type="cellIs" dxfId="430" priority="11" operator="greaterThan">
      <formula>$B$12</formula>
    </cfRule>
  </conditionalFormatting>
  <conditionalFormatting sqref="D7">
    <cfRule type="cellIs" dxfId="429" priority="10" operator="greaterThan">
      <formula>$B$12</formula>
    </cfRule>
  </conditionalFormatting>
  <conditionalFormatting sqref="B8">
    <cfRule type="cellIs" dxfId="428" priority="9" operator="greaterThan">
      <formula>$B$12</formula>
    </cfRule>
  </conditionalFormatting>
  <conditionalFormatting sqref="B9">
    <cfRule type="cellIs" dxfId="427" priority="8" operator="greaterThan">
      <formula>$B$12</formula>
    </cfRule>
  </conditionalFormatting>
  <conditionalFormatting sqref="B10">
    <cfRule type="cellIs" dxfId="426" priority="7" operator="greaterThan">
      <formula>$B$12</formula>
    </cfRule>
  </conditionalFormatting>
  <conditionalFormatting sqref="C8">
    <cfRule type="cellIs" dxfId="425" priority="6" operator="greaterThan">
      <formula>$B$12</formula>
    </cfRule>
  </conditionalFormatting>
  <conditionalFormatting sqref="D8">
    <cfRule type="cellIs" dxfId="424" priority="5" operator="greaterThan">
      <formula>$B$12</formula>
    </cfRule>
  </conditionalFormatting>
  <conditionalFormatting sqref="C9">
    <cfRule type="cellIs" dxfId="423" priority="4" operator="greaterThan">
      <formula>$B$12</formula>
    </cfRule>
  </conditionalFormatting>
  <conditionalFormatting sqref="D9">
    <cfRule type="cellIs" dxfId="422" priority="3" operator="greaterThan">
      <formula>$B$12</formula>
    </cfRule>
  </conditionalFormatting>
  <conditionalFormatting sqref="C10">
    <cfRule type="cellIs" dxfId="421" priority="2" operator="greaterThan">
      <formula>$B$12</formula>
    </cfRule>
  </conditionalFormatting>
  <conditionalFormatting sqref="D10">
    <cfRule type="cellIs" dxfId="420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0" zoomScaleNormal="80" workbookViewId="0">
      <selection activeCell="Q21" sqref="Q21"/>
    </sheetView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12.6640625" style="63" bestFit="1" customWidth="1"/>
    <col min="4" max="4" width="9.77734375" style="63" bestFit="1" customWidth="1"/>
    <col min="5" max="5" width="8.88671875" style="63"/>
    <col min="6" max="6" width="14.5546875" style="63" bestFit="1" customWidth="1"/>
    <col min="7" max="7" width="20" style="63" bestFit="1" customWidth="1"/>
    <col min="8" max="8" width="20" style="63" customWidth="1"/>
    <col min="9" max="9" width="9.77734375" style="63" bestFit="1" customWidth="1"/>
    <col min="10" max="15" width="5.21875" style="63" customWidth="1"/>
    <col min="16" max="21" width="5.21875" style="100" customWidth="1"/>
    <col min="22" max="29" width="5.21875" style="63" customWidth="1"/>
    <col min="30" max="16384" width="8.88671875" style="63"/>
  </cols>
  <sheetData>
    <row r="1" spans="1:21" x14ac:dyDescent="0.25">
      <c r="A1" s="99"/>
      <c r="I1" s="100"/>
      <c r="P1" s="63"/>
      <c r="Q1" s="63"/>
      <c r="R1" s="63"/>
      <c r="S1" s="63"/>
      <c r="T1" s="63"/>
      <c r="U1" s="63"/>
    </row>
    <row r="2" spans="1:21" ht="18.75" thickBot="1" x14ac:dyDescent="0.3">
      <c r="I2" s="100"/>
      <c r="P2" s="63"/>
      <c r="Q2" s="63"/>
      <c r="R2" s="63"/>
      <c r="S2" s="63"/>
      <c r="T2" s="63"/>
      <c r="U2" s="63"/>
    </row>
    <row r="3" spans="1:21" ht="18.75" thickBot="1" x14ac:dyDescent="0.3">
      <c r="A3" s="150" t="s">
        <v>77</v>
      </c>
      <c r="B3" s="383">
        <v>1</v>
      </c>
      <c r="C3" s="383"/>
      <c r="D3" s="384"/>
      <c r="I3" s="100"/>
      <c r="P3" s="63"/>
      <c r="Q3" s="63"/>
      <c r="R3" s="63"/>
      <c r="S3" s="63"/>
      <c r="T3" s="63"/>
      <c r="U3" s="63"/>
    </row>
    <row r="4" spans="1:21" ht="18.75" thickBot="1" x14ac:dyDescent="0.3">
      <c r="I4" s="207">
        <v>90</v>
      </c>
      <c r="J4" s="208"/>
      <c r="K4" s="208"/>
      <c r="L4" s="208"/>
      <c r="M4" s="208"/>
      <c r="N4" s="387"/>
      <c r="O4" s="388" t="s">
        <v>53</v>
      </c>
      <c r="P4" s="389"/>
      <c r="Q4" s="390"/>
      <c r="R4" s="63"/>
      <c r="S4" s="63"/>
      <c r="T4" s="63"/>
      <c r="U4" s="63"/>
    </row>
    <row r="5" spans="1:21" ht="18.75" thickBot="1" x14ac:dyDescent="0.3">
      <c r="A5" s="102" t="s">
        <v>54</v>
      </c>
      <c r="B5" s="103">
        <v>1</v>
      </c>
      <c r="C5" s="104">
        <v>2</v>
      </c>
      <c r="D5" s="104">
        <v>3</v>
      </c>
      <c r="F5" s="102" t="s">
        <v>55</v>
      </c>
      <c r="G5" s="202" t="s">
        <v>128</v>
      </c>
      <c r="H5" s="428" t="s">
        <v>4</v>
      </c>
      <c r="I5" s="207" t="s">
        <v>57</v>
      </c>
      <c r="J5" s="208"/>
      <c r="K5" s="387"/>
      <c r="L5" s="398" t="s">
        <v>58</v>
      </c>
      <c r="M5" s="399"/>
      <c r="N5" s="400"/>
      <c r="O5" s="391"/>
      <c r="P5" s="392"/>
      <c r="Q5" s="393"/>
      <c r="R5" s="63"/>
      <c r="S5" s="63"/>
      <c r="T5" s="63"/>
      <c r="U5" s="63"/>
    </row>
    <row r="6" spans="1:21" ht="18.75" thickBot="1" x14ac:dyDescent="0.3">
      <c r="A6" s="134">
        <v>4</v>
      </c>
      <c r="B6" s="106">
        <f>(((SQRT($B$5)*$B$3)/SQRT(3))*60000)/($A$6*$B$16)</f>
        <v>288.67513459481296</v>
      </c>
      <c r="C6" s="106">
        <f>(((SQRT($C$5)*$B$3)/SQRT(3))*60000)/($A$6*$B$16)</f>
        <v>408.24829046386304</v>
      </c>
      <c r="D6" s="106">
        <f>(((SQRT($D$5)*$B$3)/SQRT(3))*60000)/($A$6*$B$16)</f>
        <v>500</v>
      </c>
      <c r="F6" s="107" t="s">
        <v>128</v>
      </c>
      <c r="G6" s="107" t="s">
        <v>150</v>
      </c>
      <c r="H6" s="430"/>
      <c r="I6" s="111">
        <v>1</v>
      </c>
      <c r="J6" s="109" t="str">
        <f>IF(I6="","","bis")</f>
        <v>bis</v>
      </c>
      <c r="K6" s="112">
        <v>3</v>
      </c>
      <c r="L6" s="111">
        <f>(((SQRT($I6)*$B$3)/SQRT(3))*60000)/($B$12*$B$16)</f>
        <v>3.8490017945975059</v>
      </c>
      <c r="M6" s="109" t="str">
        <f>IF(L6="","","bis")</f>
        <v>bis</v>
      </c>
      <c r="N6" s="112">
        <f>(((SQRT($K6)*$B$3)/SQRT(3))*60000)/($B$12*$B$16)</f>
        <v>6.666666666666667</v>
      </c>
      <c r="O6" s="113">
        <v>1</v>
      </c>
      <c r="P6" s="109" t="str">
        <f>IF(O6="","","bis")</f>
        <v>bis</v>
      </c>
      <c r="Q6" s="114">
        <v>6</v>
      </c>
      <c r="R6" s="63"/>
      <c r="S6" s="63"/>
      <c r="T6" s="63"/>
      <c r="U6" s="63"/>
    </row>
    <row r="7" spans="1:21" ht="18.75" thickBot="1" x14ac:dyDescent="0.3">
      <c r="A7" s="135">
        <v>5</v>
      </c>
      <c r="B7" s="106">
        <f>(((SQRT($B$5)*$B$3)/SQRT(3))*60000)/($A$7*$B$16)</f>
        <v>230.94010767585036</v>
      </c>
      <c r="C7" s="106">
        <f>(((SQRT($C$5)*$B$3)/SQRT(3))*60000)/($A$7*$B$16)</f>
        <v>326.59863237109045</v>
      </c>
      <c r="D7" s="106">
        <f>(((SQRT($D$5)*$B$3)/SQRT(3))*60000)/($A$7*$B$16)</f>
        <v>400</v>
      </c>
      <c r="F7" s="107" t="s">
        <v>98</v>
      </c>
      <c r="G7" s="431"/>
      <c r="H7" s="425" t="s">
        <v>236</v>
      </c>
      <c r="I7" s="111">
        <v>1.5</v>
      </c>
      <c r="J7" s="109" t="str">
        <f>IF(I7="","","bis")</f>
        <v>bis</v>
      </c>
      <c r="K7" s="112">
        <v>3</v>
      </c>
      <c r="L7" s="111">
        <f>(((SQRT($I7)*$B$3)/SQRT(3))*60000)/($B$12*$B$16)</f>
        <v>4.7140452079103161</v>
      </c>
      <c r="M7" s="109" t="str">
        <f>IF(L7="","","bis")</f>
        <v>bis</v>
      </c>
      <c r="N7" s="112">
        <f>(((SQRT($K7)*$B$3)/SQRT(3))*60000)/($B$12*$B$16)</f>
        <v>6.666666666666667</v>
      </c>
      <c r="O7" s="113">
        <v>1.5</v>
      </c>
      <c r="P7" s="109" t="str">
        <f>IF(O7="","","bis")</f>
        <v>bis</v>
      </c>
      <c r="Q7" s="114">
        <v>6</v>
      </c>
      <c r="R7" s="63"/>
      <c r="S7" s="63"/>
      <c r="T7" s="63"/>
      <c r="U7" s="63"/>
    </row>
    <row r="8" spans="1:21" ht="18.75" thickBot="1" x14ac:dyDescent="0.3">
      <c r="A8" s="135">
        <v>6</v>
      </c>
      <c r="B8" s="106">
        <f>(((SQRT($B$5)*$B$3)/SQRT(3))*60000)/($A$8*$B$16)</f>
        <v>192.45008972987529</v>
      </c>
      <c r="C8" s="106">
        <f>(((SQRT($C$5)*$B$3)/SQRT(3))*60000)/($A$8*$B$16)</f>
        <v>272.16552697590873</v>
      </c>
      <c r="D8" s="106">
        <f>(((SQRT($D$5)*$B$3)/SQRT(3))*60000)/($A$8*$B$16)</f>
        <v>333.33333333333331</v>
      </c>
      <c r="F8" s="107" t="s">
        <v>92</v>
      </c>
      <c r="G8" s="431"/>
      <c r="H8" s="425" t="s">
        <v>237</v>
      </c>
      <c r="I8" s="111">
        <v>2</v>
      </c>
      <c r="J8" s="109" t="str">
        <f>IF(I8="","","bis")</f>
        <v>bis</v>
      </c>
      <c r="K8" s="112">
        <v>8</v>
      </c>
      <c r="L8" s="111">
        <f>(((SQRT($I8)*$B$3)/SQRT(3))*60000)/($B$12*$B$16)</f>
        <v>5.4433105395181745</v>
      </c>
      <c r="M8" s="109" t="str">
        <f>IF(L8="","","bis")</f>
        <v>bis</v>
      </c>
      <c r="N8" s="112">
        <f>(((SQRT($K8)*$B$3)/SQRT(3))*60000)/($B$12*$B$16)</f>
        <v>10.886621079036349</v>
      </c>
      <c r="O8" s="113">
        <v>2</v>
      </c>
      <c r="P8" s="109" t="str">
        <f>IF(O8="","","bis")</f>
        <v>bis</v>
      </c>
      <c r="Q8" s="114">
        <v>8</v>
      </c>
      <c r="R8" s="63"/>
      <c r="S8" s="63"/>
      <c r="T8" s="63"/>
      <c r="U8" s="63"/>
    </row>
    <row r="9" spans="1:21" ht="18.75" thickBot="1" x14ac:dyDescent="0.3">
      <c r="A9" s="135">
        <v>7</v>
      </c>
      <c r="B9" s="106">
        <f>(((SQRT($B$5)*$B$3)/SQRT(3))*60000)/($A$9*$B$16)</f>
        <v>164.95721976846454</v>
      </c>
      <c r="C9" s="106">
        <f>(((SQRT($C$5)*$B$3)/SQRT(3))*60000)/($A$9*$B$16)</f>
        <v>233.28473740792174</v>
      </c>
      <c r="D9" s="106">
        <f>(((SQRT($D$5)*$B$3)/SQRT(3))*60000)/($A$9*$B$16)</f>
        <v>285.71428571428572</v>
      </c>
      <c r="F9" s="107"/>
      <c r="G9" s="107"/>
      <c r="H9" s="425"/>
      <c r="I9" s="111"/>
      <c r="J9" s="109" t="str">
        <f>IF(I9="","","bis")</f>
        <v/>
      </c>
      <c r="K9" s="110"/>
      <c r="L9" s="111">
        <f>(((SQRT($I9)*$B$3)/SQRT(3))*60000)/($B$12*$B$16)</f>
        <v>0</v>
      </c>
      <c r="M9" s="109" t="str">
        <f>IF(L9="","","bis")</f>
        <v>bis</v>
      </c>
      <c r="N9" s="112">
        <f>(((SQRT($K9)*$B$3)/SQRT(3))*60000)/($B$12*$B$16)</f>
        <v>0</v>
      </c>
      <c r="O9" s="113"/>
      <c r="P9" s="109" t="str">
        <f>IF(O9="","","bis")</f>
        <v/>
      </c>
      <c r="Q9" s="114"/>
      <c r="R9" s="63"/>
      <c r="S9" s="63"/>
      <c r="T9" s="63"/>
      <c r="U9" s="63"/>
    </row>
    <row r="10" spans="1:21" ht="18.75" thickBot="1" x14ac:dyDescent="0.3">
      <c r="A10" s="136">
        <v>8</v>
      </c>
      <c r="B10" s="115">
        <f>(((SQRT($B$5)*$B$3)/SQRT(3))*60000)/($A$10*$B$16)</f>
        <v>144.33756729740648</v>
      </c>
      <c r="C10" s="115">
        <f>(((SQRT($C$5)*$B$3)/SQRT(3))*60000)/($A$10*$B$16)</f>
        <v>204.12414523193152</v>
      </c>
      <c r="D10" s="115">
        <f>(((SQRT($D$5)*$B$3)/SQRT(3))*60000)/($A$10*$B$16)</f>
        <v>250</v>
      </c>
      <c r="F10" s="107"/>
      <c r="G10" s="107"/>
      <c r="H10" s="425"/>
      <c r="I10" s="111"/>
      <c r="J10" s="109" t="str">
        <f>IF(I10="","","bis")</f>
        <v/>
      </c>
      <c r="K10" s="112"/>
      <c r="L10" s="111">
        <f>(((SQRT($I10)*$B$3)/SQRT(3))*60000)/($B$12*$B$16)</f>
        <v>0</v>
      </c>
      <c r="M10" s="109" t="str">
        <f>IF(L10="","","bis")</f>
        <v>bis</v>
      </c>
      <c r="N10" s="112">
        <f>(((SQRT($K10)*$B$3)/SQRT(3))*60000)/($B$12*$B$16)</f>
        <v>0</v>
      </c>
      <c r="O10" s="113"/>
      <c r="P10" s="109" t="str">
        <f>IF(O10="","","bis")</f>
        <v/>
      </c>
      <c r="Q10" s="114"/>
      <c r="R10" s="63"/>
      <c r="S10" s="63"/>
      <c r="T10" s="63"/>
      <c r="U10" s="63"/>
    </row>
    <row r="11" spans="1:21" ht="18.75" thickBot="1" x14ac:dyDescent="0.3">
      <c r="K11" s="116"/>
    </row>
    <row r="12" spans="1:21" ht="18.75" thickBot="1" x14ac:dyDescent="0.3">
      <c r="A12" s="117" t="s">
        <v>60</v>
      </c>
      <c r="B12" s="64">
        <v>300</v>
      </c>
      <c r="C12" s="66"/>
      <c r="D12" s="417"/>
      <c r="E12" s="417"/>
      <c r="F12" s="123"/>
      <c r="G12" s="119"/>
      <c r="H12" s="119"/>
    </row>
    <row r="13" spans="1:21" ht="18.75" thickBot="1" x14ac:dyDescent="0.3">
      <c r="A13" s="117" t="s">
        <v>61</v>
      </c>
      <c r="B13" s="120">
        <f>POWER(((SQRT(3)*$C$13)/$B$3),2)</f>
        <v>1.6875</v>
      </c>
      <c r="C13" s="121">
        <f>(B12*B14*B16)/60000</f>
        <v>0.75</v>
      </c>
      <c r="D13" s="418"/>
      <c r="E13" s="418"/>
      <c r="F13" s="123"/>
      <c r="G13" s="119"/>
      <c r="H13" s="119"/>
    </row>
    <row r="14" spans="1:21" ht="18.75" thickBot="1" x14ac:dyDescent="0.3">
      <c r="A14" s="117" t="s">
        <v>62</v>
      </c>
      <c r="B14" s="78">
        <v>5</v>
      </c>
      <c r="D14" s="140"/>
      <c r="E14" s="119"/>
      <c r="F14" s="137"/>
      <c r="G14" s="119"/>
      <c r="H14" s="119"/>
    </row>
    <row r="15" spans="1:21" ht="18.75" thickBot="1" x14ac:dyDescent="0.3">
      <c r="A15" s="117"/>
      <c r="B15" s="123"/>
      <c r="C15" s="124"/>
      <c r="D15" s="417"/>
      <c r="E15" s="417"/>
      <c r="F15" s="138"/>
      <c r="G15" s="138"/>
      <c r="H15" s="138"/>
    </row>
    <row r="16" spans="1:21" ht="18.75" thickBot="1" x14ac:dyDescent="0.3">
      <c r="A16" s="125" t="s">
        <v>63</v>
      </c>
      <c r="B16" s="126">
        <v>30</v>
      </c>
    </row>
    <row r="17" spans="1:3" ht="18.75" thickBot="1" x14ac:dyDescent="0.3">
      <c r="A17" s="122" t="s">
        <v>64</v>
      </c>
      <c r="B17" s="126">
        <v>120</v>
      </c>
    </row>
    <row r="18" spans="1:3" ht="18.75" thickBot="1" x14ac:dyDescent="0.3">
      <c r="A18" s="127" t="s">
        <v>65</v>
      </c>
      <c r="B18" s="128">
        <f>(B16*100)/B17</f>
        <v>25</v>
      </c>
    </row>
    <row r="19" spans="1:3" ht="18.75" thickBot="1" x14ac:dyDescent="0.3">
      <c r="A19" s="125" t="s">
        <v>66</v>
      </c>
      <c r="B19" s="129">
        <v>3</v>
      </c>
      <c r="C19" s="130">
        <f>(B16/B17)*B19</f>
        <v>0.75</v>
      </c>
    </row>
    <row r="20" spans="1:3" ht="18.75" thickBot="1" x14ac:dyDescent="0.3">
      <c r="A20" s="63" t="s">
        <v>67</v>
      </c>
      <c r="B20" s="131">
        <v>3</v>
      </c>
      <c r="C20" s="132">
        <f>(B20*C19)</f>
        <v>2.25</v>
      </c>
    </row>
    <row r="21" spans="1:3" ht="18.75" thickBot="1" x14ac:dyDescent="0.3">
      <c r="A21" s="63" t="s">
        <v>80</v>
      </c>
      <c r="C21" s="151">
        <f>(B12*C19)/1</f>
        <v>225</v>
      </c>
    </row>
  </sheetData>
  <sheetProtection algorithmName="SHA-512" hashValue="vjWpdjHKVk1lSog64bRl1CGmeQkfbUFk6+yfLf8+s4GfF3suUXTeJk8/gYUY04kP+0mESgI0jPVm/G+mj5S99g==" saltValue="AWANFQKLeMDmRPjQo5WKYQ==" spinCount="100000" sheet="1" objects="1" scenarios="1"/>
  <mergeCells count="8">
    <mergeCell ref="D13:E13"/>
    <mergeCell ref="D15:E15"/>
    <mergeCell ref="B3:D3"/>
    <mergeCell ref="I4:N4"/>
    <mergeCell ref="O4:Q5"/>
    <mergeCell ref="I5:K5"/>
    <mergeCell ref="L5:N5"/>
    <mergeCell ref="D12:E12"/>
  </mergeCells>
  <conditionalFormatting sqref="B6">
    <cfRule type="cellIs" dxfId="29" priority="15" operator="greaterThan">
      <formula>$B$12</formula>
    </cfRule>
  </conditionalFormatting>
  <conditionalFormatting sqref="C6">
    <cfRule type="cellIs" dxfId="28" priority="14" operator="greaterThan">
      <formula>$B$12</formula>
    </cfRule>
  </conditionalFormatting>
  <conditionalFormatting sqref="D6">
    <cfRule type="cellIs" dxfId="27" priority="13" operator="greaterThan">
      <formula>$B$12</formula>
    </cfRule>
  </conditionalFormatting>
  <conditionalFormatting sqref="B7">
    <cfRule type="cellIs" dxfId="26" priority="12" operator="greaterThan">
      <formula>$B$12</formula>
    </cfRule>
  </conditionalFormatting>
  <conditionalFormatting sqref="C7">
    <cfRule type="cellIs" dxfId="25" priority="11" operator="greaterThan">
      <formula>$B$12</formula>
    </cfRule>
  </conditionalFormatting>
  <conditionalFormatting sqref="D7">
    <cfRule type="cellIs" dxfId="24" priority="10" operator="greaterThan">
      <formula>$B$12</formula>
    </cfRule>
  </conditionalFormatting>
  <conditionalFormatting sqref="B8">
    <cfRule type="cellIs" dxfId="23" priority="9" operator="greaterThan">
      <formula>$B$12</formula>
    </cfRule>
  </conditionalFormatting>
  <conditionalFormatting sqref="C8">
    <cfRule type="cellIs" dxfId="22" priority="8" operator="greaterThan">
      <formula>$B$12</formula>
    </cfRule>
  </conditionalFormatting>
  <conditionalFormatting sqref="D8">
    <cfRule type="cellIs" dxfId="21" priority="7" operator="greaterThan">
      <formula>$B$12</formula>
    </cfRule>
  </conditionalFormatting>
  <conditionalFormatting sqref="B9">
    <cfRule type="cellIs" dxfId="20" priority="6" operator="greaterThan">
      <formula>$B$12</formula>
    </cfRule>
  </conditionalFormatting>
  <conditionalFormatting sqref="B10">
    <cfRule type="cellIs" dxfId="19" priority="5" operator="greaterThan">
      <formula>$B$12</formula>
    </cfRule>
  </conditionalFormatting>
  <conditionalFormatting sqref="C9">
    <cfRule type="cellIs" dxfId="18" priority="4" operator="greaterThan">
      <formula>$B$12</formula>
    </cfRule>
  </conditionalFormatting>
  <conditionalFormatting sqref="D9">
    <cfRule type="cellIs" dxfId="17" priority="3" operator="greaterThan">
      <formula>$B$12</formula>
    </cfRule>
  </conditionalFormatting>
  <conditionalFormatting sqref="C10">
    <cfRule type="cellIs" dxfId="16" priority="2" operator="greaterThan">
      <formula>$B$12</formula>
    </cfRule>
  </conditionalFormatting>
  <conditionalFormatting sqref="D10">
    <cfRule type="cellIs" dxfId="15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0" zoomScaleNormal="80" workbookViewId="0"/>
  </sheetViews>
  <sheetFormatPr baseColWidth="10" defaultColWidth="8.88671875" defaultRowHeight="18" x14ac:dyDescent="0.25"/>
  <cols>
    <col min="1" max="1" width="20.33203125" style="63" bestFit="1" customWidth="1"/>
    <col min="2" max="2" width="10.77734375" style="63" bestFit="1" customWidth="1"/>
    <col min="3" max="3" width="12.6640625" style="63" bestFit="1" customWidth="1"/>
    <col min="4" max="4" width="9.77734375" style="63" bestFit="1" customWidth="1"/>
    <col min="5" max="5" width="8.88671875" style="63"/>
    <col min="6" max="6" width="14.5546875" style="63" bestFit="1" customWidth="1"/>
    <col min="7" max="7" width="20" style="63" bestFit="1" customWidth="1"/>
    <col min="8" max="8" width="20" style="63" customWidth="1"/>
    <col min="9" max="9" width="9.77734375" style="63" bestFit="1" customWidth="1"/>
    <col min="10" max="15" width="5.21875" style="63" customWidth="1"/>
    <col min="16" max="21" width="5.21875" style="100" customWidth="1"/>
    <col min="22" max="29" width="5.21875" style="63" customWidth="1"/>
    <col min="30" max="16384" width="8.88671875" style="63"/>
  </cols>
  <sheetData>
    <row r="1" spans="1:21" x14ac:dyDescent="0.25">
      <c r="A1" s="99"/>
      <c r="I1" s="100"/>
      <c r="P1" s="63"/>
      <c r="Q1" s="63"/>
      <c r="R1" s="63"/>
      <c r="S1" s="63"/>
      <c r="T1" s="63"/>
      <c r="U1" s="63"/>
    </row>
    <row r="2" spans="1:21" ht="18.75" thickBot="1" x14ac:dyDescent="0.3">
      <c r="I2" s="100"/>
      <c r="P2" s="63"/>
      <c r="Q2" s="63"/>
      <c r="R2" s="63"/>
      <c r="S2" s="63"/>
      <c r="T2" s="63"/>
      <c r="U2" s="63"/>
    </row>
    <row r="3" spans="1:21" ht="18.75" thickBot="1" x14ac:dyDescent="0.3">
      <c r="A3" s="139" t="s">
        <v>69</v>
      </c>
      <c r="B3" s="401">
        <v>0.8</v>
      </c>
      <c r="C3" s="401"/>
      <c r="D3" s="402"/>
      <c r="I3" s="100"/>
      <c r="P3" s="63"/>
      <c r="Q3" s="63"/>
      <c r="R3" s="63"/>
      <c r="S3" s="63"/>
      <c r="T3" s="63"/>
      <c r="U3" s="63"/>
    </row>
    <row r="4" spans="1:21" ht="18.75" thickBot="1" x14ac:dyDescent="0.3">
      <c r="I4" s="207">
        <v>90</v>
      </c>
      <c r="J4" s="208"/>
      <c r="K4" s="208"/>
      <c r="L4" s="208"/>
      <c r="M4" s="208"/>
      <c r="N4" s="387"/>
      <c r="O4" s="388" t="s">
        <v>53</v>
      </c>
      <c r="P4" s="389"/>
      <c r="Q4" s="390"/>
      <c r="R4" s="63"/>
      <c r="S4" s="63"/>
      <c r="T4" s="63"/>
      <c r="U4" s="63"/>
    </row>
    <row r="5" spans="1:21" ht="18.75" thickBot="1" x14ac:dyDescent="0.3">
      <c r="A5" s="102" t="s">
        <v>54</v>
      </c>
      <c r="B5" s="103">
        <v>1</v>
      </c>
      <c r="C5" s="104">
        <v>2</v>
      </c>
      <c r="D5" s="104">
        <v>3</v>
      </c>
      <c r="F5" s="102" t="s">
        <v>55</v>
      </c>
      <c r="G5" s="428" t="s">
        <v>128</v>
      </c>
      <c r="H5" s="429" t="s">
        <v>4</v>
      </c>
      <c r="I5" s="207" t="s">
        <v>57</v>
      </c>
      <c r="J5" s="208"/>
      <c r="K5" s="387"/>
      <c r="L5" s="398" t="s">
        <v>58</v>
      </c>
      <c r="M5" s="399"/>
      <c r="N5" s="400"/>
      <c r="O5" s="391"/>
      <c r="P5" s="392"/>
      <c r="Q5" s="393"/>
      <c r="R5" s="63"/>
      <c r="S5" s="63"/>
      <c r="T5" s="63"/>
      <c r="U5" s="63"/>
    </row>
    <row r="6" spans="1:21" ht="18.75" thickBot="1" x14ac:dyDescent="0.3">
      <c r="A6" s="134">
        <v>4</v>
      </c>
      <c r="B6" s="106">
        <f>(((SQRT($B$5)*$B$3)/SQRT(3))*60000)/($A$6*$B$16)</f>
        <v>230.94010767585033</v>
      </c>
      <c r="C6" s="106">
        <f>(((SQRT($C$5)*$B$3)/SQRT(3))*60000)/($A$6*$B$16)</f>
        <v>326.5986323710905</v>
      </c>
      <c r="D6" s="106">
        <f>(((SQRT($D$5)*$B$3)/SQRT(3))*60000)/($A$6*$B$16)</f>
        <v>400</v>
      </c>
      <c r="F6" s="107" t="s">
        <v>128</v>
      </c>
      <c r="G6" s="107" t="s">
        <v>238</v>
      </c>
      <c r="H6" s="430"/>
      <c r="I6" s="111">
        <v>1</v>
      </c>
      <c r="J6" s="109" t="str">
        <f>IF(I6="","","bis")</f>
        <v>bis</v>
      </c>
      <c r="K6" s="112">
        <v>3</v>
      </c>
      <c r="L6" s="111">
        <f>(((SQRT($I6)*$B$3)/SQRT(3))*60000)/($B$12*$B$16)</f>
        <v>3.0792014356780042</v>
      </c>
      <c r="M6" s="109" t="str">
        <f>IF(L6="","","bis")</f>
        <v>bis</v>
      </c>
      <c r="N6" s="112">
        <f>(((SQRT($K6)*$B$3)/SQRT(3))*60000)/($B$12*$B$16)</f>
        <v>5.333333333333333</v>
      </c>
      <c r="O6" s="113">
        <v>1</v>
      </c>
      <c r="P6" s="109" t="str">
        <f>IF(O6="","","bis")</f>
        <v>bis</v>
      </c>
      <c r="Q6" s="114">
        <v>6</v>
      </c>
      <c r="R6" s="63"/>
      <c r="S6" s="63"/>
      <c r="T6" s="63"/>
      <c r="U6" s="63"/>
    </row>
    <row r="7" spans="1:21" ht="18.75" thickBot="1" x14ac:dyDescent="0.3">
      <c r="A7" s="135">
        <v>5</v>
      </c>
      <c r="B7" s="106">
        <f>(((SQRT($B$5)*$B$3)/SQRT(3))*60000)/($A$7*$B$16)</f>
        <v>184.75208614068026</v>
      </c>
      <c r="C7" s="106">
        <f>(((SQRT($C$5)*$B$3)/SQRT(3))*60000)/($A$7*$B$16)</f>
        <v>261.2789058968724</v>
      </c>
      <c r="D7" s="106">
        <f>(((SQRT($D$5)*$B$3)/SQRT(3))*60000)/($A$7*$B$16)</f>
        <v>320</v>
      </c>
      <c r="F7" s="107"/>
      <c r="G7" s="107"/>
      <c r="H7" s="425"/>
      <c r="I7" s="111"/>
      <c r="J7" s="109" t="str">
        <f>IF(I7="","","bis")</f>
        <v/>
      </c>
      <c r="K7" s="112"/>
      <c r="L7" s="111">
        <f>(((SQRT($I7)*$B$3)/SQRT(3))*60000)/($B$12*$B$16)</f>
        <v>0</v>
      </c>
      <c r="M7" s="109" t="str">
        <f>IF(L7="","","bis")</f>
        <v>bis</v>
      </c>
      <c r="N7" s="112">
        <f>(((SQRT($K7)*$B$3)/SQRT(3))*60000)/($B$12*$B$16)</f>
        <v>0</v>
      </c>
      <c r="O7" s="113"/>
      <c r="P7" s="109" t="str">
        <f>IF(O7="","","bis")</f>
        <v/>
      </c>
      <c r="Q7" s="114"/>
      <c r="R7" s="63"/>
      <c r="S7" s="63"/>
      <c r="T7" s="63"/>
      <c r="U7" s="63"/>
    </row>
    <row r="8" spans="1:21" ht="18.75" thickBot="1" x14ac:dyDescent="0.3">
      <c r="A8" s="135">
        <v>6</v>
      </c>
      <c r="B8" s="106">
        <f>(((SQRT($B$5)*$B$3)/SQRT(3))*60000)/($A$8*$B$16)</f>
        <v>153.96007178390022</v>
      </c>
      <c r="C8" s="106">
        <f>(((SQRT($C$5)*$B$3)/SQRT(3))*60000)/($A$8*$B$16)</f>
        <v>217.73242158072702</v>
      </c>
      <c r="D8" s="106">
        <f>(((SQRT($D$5)*$B$3)/SQRT(3))*60000)/($A$8*$B$16)</f>
        <v>266.66666666666669</v>
      </c>
      <c r="F8" s="107"/>
      <c r="G8" s="107"/>
      <c r="H8" s="425"/>
      <c r="I8" s="111"/>
      <c r="J8" s="109" t="str">
        <f>IF(I8="","","bis")</f>
        <v/>
      </c>
      <c r="K8" s="112"/>
      <c r="L8" s="111">
        <f>(((SQRT($I8)*$B$3)/SQRT(3))*60000)/($B$12*$B$16)</f>
        <v>0</v>
      </c>
      <c r="M8" s="109" t="str">
        <f>IF(L8="","","bis")</f>
        <v>bis</v>
      </c>
      <c r="N8" s="112">
        <f>(((SQRT($K8)*$B$3)/SQRT(3))*60000)/($B$12*$B$16)</f>
        <v>0</v>
      </c>
      <c r="O8" s="113"/>
      <c r="P8" s="109" t="str">
        <f>IF(O8="","","bis")</f>
        <v/>
      </c>
      <c r="Q8" s="114"/>
      <c r="R8" s="63"/>
      <c r="S8" s="63"/>
      <c r="T8" s="63"/>
      <c r="U8" s="63"/>
    </row>
    <row r="9" spans="1:21" ht="18.75" thickBot="1" x14ac:dyDescent="0.3">
      <c r="A9" s="135">
        <v>7</v>
      </c>
      <c r="B9" s="106">
        <f>(((SQRT($B$5)*$B$3)/SQRT(3))*60000)/($A$9*$B$16)</f>
        <v>131.9657758147716</v>
      </c>
      <c r="C9" s="106">
        <f>(((SQRT($C$5)*$B$3)/SQRT(3))*60000)/($A$9*$B$16)</f>
        <v>186.62778992633744</v>
      </c>
      <c r="D9" s="106">
        <f>(((SQRT($D$5)*$B$3)/SQRT(3))*60000)/($A$9*$B$16)</f>
        <v>228.57142857142858</v>
      </c>
      <c r="F9" s="107"/>
      <c r="G9" s="107"/>
      <c r="H9" s="425"/>
      <c r="I9" s="111"/>
      <c r="J9" s="109" t="str">
        <f>IF(I9="","","bis")</f>
        <v/>
      </c>
      <c r="K9" s="110"/>
      <c r="L9" s="111">
        <f>(((SQRT($I9)*$B$3)/SQRT(3))*60000)/($B$12*$B$16)</f>
        <v>0</v>
      </c>
      <c r="M9" s="109" t="str">
        <f>IF(L9="","","bis")</f>
        <v>bis</v>
      </c>
      <c r="N9" s="112">
        <f>(((SQRT($K9)*$B$3)/SQRT(3))*60000)/($B$12*$B$16)</f>
        <v>0</v>
      </c>
      <c r="O9" s="113"/>
      <c r="P9" s="109" t="str">
        <f>IF(O9="","","bis")</f>
        <v/>
      </c>
      <c r="Q9" s="114"/>
      <c r="R9" s="63"/>
      <c r="S9" s="63"/>
      <c r="T9" s="63"/>
      <c r="U9" s="63"/>
    </row>
    <row r="10" spans="1:21" ht="18.75" thickBot="1" x14ac:dyDescent="0.3">
      <c r="A10" s="136">
        <v>8</v>
      </c>
      <c r="B10" s="115">
        <f>(((SQRT($B$5)*$B$3)/SQRT(3))*60000)/($A$10*$B$16)</f>
        <v>115.47005383792516</v>
      </c>
      <c r="C10" s="115">
        <f>(((SQRT($C$5)*$B$3)/SQRT(3))*60000)/($A$10*$B$16)</f>
        <v>163.29931618554525</v>
      </c>
      <c r="D10" s="115">
        <f>(((SQRT($D$5)*$B$3)/SQRT(3))*60000)/($A$10*$B$16)</f>
        <v>200</v>
      </c>
      <c r="F10" s="107"/>
      <c r="G10" s="107"/>
      <c r="H10" s="425"/>
      <c r="I10" s="111"/>
      <c r="J10" s="109" t="str">
        <f>IF(I10="","","bis")</f>
        <v/>
      </c>
      <c r="K10" s="112"/>
      <c r="L10" s="111">
        <f>(((SQRT($I10)*$B$3)/SQRT(3))*60000)/($B$12*$B$16)</f>
        <v>0</v>
      </c>
      <c r="M10" s="109" t="str">
        <f>IF(L10="","","bis")</f>
        <v>bis</v>
      </c>
      <c r="N10" s="112">
        <f>(((SQRT($K10)*$B$3)/SQRT(3))*60000)/($B$12*$B$16)</f>
        <v>0</v>
      </c>
      <c r="O10" s="113"/>
      <c r="P10" s="109" t="str">
        <f>IF(O10="","","bis")</f>
        <v/>
      </c>
      <c r="Q10" s="114"/>
      <c r="R10" s="63"/>
      <c r="S10" s="63"/>
      <c r="T10" s="63"/>
      <c r="U10" s="63"/>
    </row>
    <row r="11" spans="1:21" ht="18.75" thickBot="1" x14ac:dyDescent="0.3">
      <c r="K11" s="116"/>
    </row>
    <row r="12" spans="1:21" ht="18.75" thickBot="1" x14ac:dyDescent="0.3">
      <c r="A12" s="117" t="s">
        <v>60</v>
      </c>
      <c r="B12" s="64">
        <v>300</v>
      </c>
      <c r="C12" s="66"/>
      <c r="D12" s="417"/>
      <c r="E12" s="417"/>
      <c r="F12" s="123"/>
      <c r="G12" s="119"/>
      <c r="H12" s="119"/>
    </row>
    <row r="13" spans="1:21" ht="18.75" thickBot="1" x14ac:dyDescent="0.3">
      <c r="A13" s="117" t="s">
        <v>61</v>
      </c>
      <c r="B13" s="120">
        <f>POWER(((SQRT(3)*$C$13)/$B$3),2)</f>
        <v>2.63671875</v>
      </c>
      <c r="C13" s="121">
        <f>(B12*B14*B16)/60000</f>
        <v>0.75</v>
      </c>
      <c r="D13" s="418"/>
      <c r="E13" s="418"/>
      <c r="F13" s="123"/>
      <c r="G13" s="119"/>
      <c r="H13" s="119"/>
    </row>
    <row r="14" spans="1:21" ht="18.75" thickBot="1" x14ac:dyDescent="0.3">
      <c r="A14" s="117" t="s">
        <v>62</v>
      </c>
      <c r="B14" s="78">
        <v>5</v>
      </c>
      <c r="D14" s="140"/>
      <c r="E14" s="119"/>
      <c r="F14" s="137"/>
      <c r="G14" s="119"/>
      <c r="H14" s="119"/>
    </row>
    <row r="15" spans="1:21" ht="18.75" thickBot="1" x14ac:dyDescent="0.3">
      <c r="A15" s="117"/>
      <c r="B15" s="123"/>
      <c r="C15" s="124"/>
      <c r="D15" s="417"/>
      <c r="E15" s="417"/>
      <c r="F15" s="138"/>
      <c r="G15" s="138"/>
      <c r="H15" s="138"/>
    </row>
    <row r="16" spans="1:21" ht="18.75" thickBot="1" x14ac:dyDescent="0.3">
      <c r="A16" s="125" t="s">
        <v>63</v>
      </c>
      <c r="B16" s="126">
        <v>30</v>
      </c>
    </row>
    <row r="17" spans="1:3" ht="18.75" thickBot="1" x14ac:dyDescent="0.3">
      <c r="A17" s="122" t="s">
        <v>64</v>
      </c>
      <c r="B17" s="126">
        <v>120</v>
      </c>
    </row>
    <row r="18" spans="1:3" ht="18.75" thickBot="1" x14ac:dyDescent="0.3">
      <c r="A18" s="127" t="s">
        <v>65</v>
      </c>
      <c r="B18" s="128">
        <f>(B16*100)/B17</f>
        <v>25</v>
      </c>
    </row>
    <row r="19" spans="1:3" ht="18.75" thickBot="1" x14ac:dyDescent="0.3">
      <c r="A19" s="125" t="s">
        <v>66</v>
      </c>
      <c r="B19" s="129">
        <v>3</v>
      </c>
      <c r="C19" s="130">
        <f>(B16/B17)*B19</f>
        <v>0.75</v>
      </c>
    </row>
    <row r="20" spans="1:3" ht="18.75" thickBot="1" x14ac:dyDescent="0.3">
      <c r="A20" s="63" t="s">
        <v>67</v>
      </c>
      <c r="B20" s="131">
        <v>3</v>
      </c>
      <c r="C20" s="132">
        <f>(B20*C19)</f>
        <v>2.25</v>
      </c>
    </row>
    <row r="21" spans="1:3" ht="18.75" thickBot="1" x14ac:dyDescent="0.3">
      <c r="A21" s="63" t="s">
        <v>80</v>
      </c>
      <c r="C21" s="151">
        <f>(B12*C19)/1</f>
        <v>225</v>
      </c>
    </row>
  </sheetData>
  <sheetProtection algorithmName="SHA-512" hashValue="IeSniVeUgBnLpKcUn/F0VfXYYR6W+o0tAgbokdK81jY/QO8Gsqe6CpHBuZtaCodDGixEOtZkKjDmB9KqblOx+A==" saltValue="IqeFuQZzpqGoxD6ZsQjCUg==" spinCount="100000" sheet="1" objects="1" scenarios="1"/>
  <mergeCells count="8">
    <mergeCell ref="D13:E13"/>
    <mergeCell ref="D15:E15"/>
    <mergeCell ref="B3:D3"/>
    <mergeCell ref="I4:N4"/>
    <mergeCell ref="O4:Q5"/>
    <mergeCell ref="I5:K5"/>
    <mergeCell ref="L5:N5"/>
    <mergeCell ref="D12:E12"/>
  </mergeCells>
  <conditionalFormatting sqref="B6">
    <cfRule type="cellIs" dxfId="14" priority="15" operator="greaterThan">
      <formula>$B$12</formula>
    </cfRule>
  </conditionalFormatting>
  <conditionalFormatting sqref="C6">
    <cfRule type="cellIs" dxfId="13" priority="14" operator="greaterThan">
      <formula>$B$12</formula>
    </cfRule>
  </conditionalFormatting>
  <conditionalFormatting sqref="D6">
    <cfRule type="cellIs" dxfId="12" priority="13" operator="greaterThan">
      <formula>$B$12</formula>
    </cfRule>
  </conditionalFormatting>
  <conditionalFormatting sqref="B7">
    <cfRule type="cellIs" dxfId="11" priority="12" operator="greaterThan">
      <formula>$B$12</formula>
    </cfRule>
  </conditionalFormatting>
  <conditionalFormatting sqref="C7">
    <cfRule type="cellIs" dxfId="10" priority="11" operator="greaterThan">
      <formula>$B$12</formula>
    </cfRule>
  </conditionalFormatting>
  <conditionalFormatting sqref="D7">
    <cfRule type="cellIs" dxfId="9" priority="10" operator="greaterThan">
      <formula>$B$12</formula>
    </cfRule>
  </conditionalFormatting>
  <conditionalFormatting sqref="B8">
    <cfRule type="cellIs" dxfId="8" priority="9" operator="greaterThan">
      <formula>$B$12</formula>
    </cfRule>
  </conditionalFormatting>
  <conditionalFormatting sqref="C8">
    <cfRule type="cellIs" dxfId="7" priority="8" operator="greaterThan">
      <formula>$B$12</formula>
    </cfRule>
  </conditionalFormatting>
  <conditionalFormatting sqref="D8">
    <cfRule type="cellIs" dxfId="6" priority="7" operator="greaterThan">
      <formula>$B$12</formula>
    </cfRule>
  </conditionalFormatting>
  <conditionalFormatting sqref="B9">
    <cfRule type="cellIs" dxfId="5" priority="6" operator="greaterThan">
      <formula>$B$12</formula>
    </cfRule>
  </conditionalFormatting>
  <conditionalFormatting sqref="B10">
    <cfRule type="cellIs" dxfId="4" priority="5" operator="greaterThan">
      <formula>$B$12</formula>
    </cfRule>
  </conditionalFormatting>
  <conditionalFormatting sqref="C9">
    <cfRule type="cellIs" dxfId="3" priority="4" operator="greaterThan">
      <formula>$B$12</formula>
    </cfRule>
  </conditionalFormatting>
  <conditionalFormatting sqref="D9">
    <cfRule type="cellIs" dxfId="2" priority="3" operator="greaterThan">
      <formula>$B$12</formula>
    </cfRule>
  </conditionalFormatting>
  <conditionalFormatting sqref="C10">
    <cfRule type="cellIs" dxfId="1" priority="2" operator="greaterThan">
      <formula>$B$12</formula>
    </cfRule>
  </conditionalFormatting>
  <conditionalFormatting sqref="D10">
    <cfRule type="cellIs" dxfId="0" priority="1" operator="greaterThan">
      <formula>$B$12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1463</vt:i4>
      </vt:variant>
    </vt:vector>
  </HeadingPairs>
  <TitlesOfParts>
    <vt:vector size="1498" baseType="lpstr">
      <vt:lpstr>Abdrift</vt:lpstr>
      <vt:lpstr>Tabelle1</vt:lpstr>
      <vt:lpstr>Vertikalgestänge</vt:lpstr>
      <vt:lpstr>Sprühkanone</vt:lpstr>
      <vt:lpstr>lf025</vt:lpstr>
      <vt:lpstr>kdf025</vt:lpstr>
      <vt:lpstr>ldf025</vt:lpstr>
      <vt:lpstr>025Streifen</vt:lpstr>
      <vt:lpstr>02Streifen</vt:lpstr>
      <vt:lpstr>kdf02 50</vt:lpstr>
      <vt:lpstr>ldf02 50</vt:lpstr>
      <vt:lpstr>kf04</vt:lpstr>
      <vt:lpstr>lf04</vt:lpstr>
      <vt:lpstr>kdf04</vt:lpstr>
      <vt:lpstr>ldf04</vt:lpstr>
      <vt:lpstr>kf05</vt:lpstr>
      <vt:lpstr>lf05</vt:lpstr>
      <vt:lpstr>kdf05</vt:lpstr>
      <vt:lpstr>ldf05</vt:lpstr>
      <vt:lpstr>05Streifen</vt:lpstr>
      <vt:lpstr>kf06</vt:lpstr>
      <vt:lpstr>lf06</vt:lpstr>
      <vt:lpstr>kdf06</vt:lpstr>
      <vt:lpstr>ldf06</vt:lpstr>
      <vt:lpstr>kf03</vt:lpstr>
      <vt:lpstr>lf03</vt:lpstr>
      <vt:lpstr>kdf03</vt:lpstr>
      <vt:lpstr>ldf03</vt:lpstr>
      <vt:lpstr>03Streifen</vt:lpstr>
      <vt:lpstr>kf03 Band</vt:lpstr>
      <vt:lpstr>04Streifen</vt:lpstr>
      <vt:lpstr>kf04 Band</vt:lpstr>
      <vt:lpstr>kf01 Band</vt:lpstr>
      <vt:lpstr>kf015 Band</vt:lpstr>
      <vt:lpstr>kf02 Band</vt:lpstr>
      <vt:lpstr>_1435</vt:lpstr>
      <vt:lpstr>_1435b</vt:lpstr>
      <vt:lpstr>_1435c</vt:lpstr>
      <vt:lpstr>_1435f</vt:lpstr>
      <vt:lpstr>_1435g</vt:lpstr>
      <vt:lpstr>_1435h</vt:lpstr>
      <vt:lpstr>_1435i</vt:lpstr>
      <vt:lpstr>_1435j</vt:lpstr>
      <vt:lpstr>_1435k</vt:lpstr>
      <vt:lpstr>_1435l</vt:lpstr>
      <vt:lpstr>_1435m</vt:lpstr>
      <vt:lpstr>_1436</vt:lpstr>
      <vt:lpstr>_1436b</vt:lpstr>
      <vt:lpstr>_1436c</vt:lpstr>
      <vt:lpstr>_1436f</vt:lpstr>
      <vt:lpstr>_1436g</vt:lpstr>
      <vt:lpstr>_1436h</vt:lpstr>
      <vt:lpstr>_1436i</vt:lpstr>
      <vt:lpstr>_1436j</vt:lpstr>
      <vt:lpstr>_1436k</vt:lpstr>
      <vt:lpstr>_1436l</vt:lpstr>
      <vt:lpstr>_1436m</vt:lpstr>
      <vt:lpstr>_1437</vt:lpstr>
      <vt:lpstr>_1437b</vt:lpstr>
      <vt:lpstr>_1437c</vt:lpstr>
      <vt:lpstr>_1437f</vt:lpstr>
      <vt:lpstr>_1437g</vt:lpstr>
      <vt:lpstr>_1437h</vt:lpstr>
      <vt:lpstr>_1437i</vt:lpstr>
      <vt:lpstr>_1437j</vt:lpstr>
      <vt:lpstr>_1437k</vt:lpstr>
      <vt:lpstr>_1437l</vt:lpstr>
      <vt:lpstr>_1437m</vt:lpstr>
      <vt:lpstr>_1438</vt:lpstr>
      <vt:lpstr>_1438b</vt:lpstr>
      <vt:lpstr>_1438c</vt:lpstr>
      <vt:lpstr>_1438f</vt:lpstr>
      <vt:lpstr>_1438g</vt:lpstr>
      <vt:lpstr>_1438h</vt:lpstr>
      <vt:lpstr>_1438i</vt:lpstr>
      <vt:lpstr>_1438j</vt:lpstr>
      <vt:lpstr>_1438k</vt:lpstr>
      <vt:lpstr>_1438l</vt:lpstr>
      <vt:lpstr>_1438m</vt:lpstr>
      <vt:lpstr>_1613</vt:lpstr>
      <vt:lpstr>_1613b</vt:lpstr>
      <vt:lpstr>_1613c</vt:lpstr>
      <vt:lpstr>_1613f</vt:lpstr>
      <vt:lpstr>_1613g</vt:lpstr>
      <vt:lpstr>_1613h</vt:lpstr>
      <vt:lpstr>_1613i</vt:lpstr>
      <vt:lpstr>_1613j</vt:lpstr>
      <vt:lpstr>_1613k</vt:lpstr>
      <vt:lpstr>_1613l</vt:lpstr>
      <vt:lpstr>_1613m</vt:lpstr>
      <vt:lpstr>_1613n</vt:lpstr>
      <vt:lpstr>_1613o</vt:lpstr>
      <vt:lpstr>_1638</vt:lpstr>
      <vt:lpstr>_1638b</vt:lpstr>
      <vt:lpstr>_1638c</vt:lpstr>
      <vt:lpstr>_1638f</vt:lpstr>
      <vt:lpstr>_1638g</vt:lpstr>
      <vt:lpstr>_1638h</vt:lpstr>
      <vt:lpstr>_1638i</vt:lpstr>
      <vt:lpstr>_1638j</vt:lpstr>
      <vt:lpstr>_1638k</vt:lpstr>
      <vt:lpstr>_1638l</vt:lpstr>
      <vt:lpstr>_1638m</vt:lpstr>
      <vt:lpstr>_1638n</vt:lpstr>
      <vt:lpstr>_1638o</vt:lpstr>
      <vt:lpstr>_1718</vt:lpstr>
      <vt:lpstr>_1718b</vt:lpstr>
      <vt:lpstr>_1718c</vt:lpstr>
      <vt:lpstr>_1718f</vt:lpstr>
      <vt:lpstr>_1718g</vt:lpstr>
      <vt:lpstr>_1718h</vt:lpstr>
      <vt:lpstr>_1718i</vt:lpstr>
      <vt:lpstr>_1718j</vt:lpstr>
      <vt:lpstr>_1718k</vt:lpstr>
      <vt:lpstr>_1718l</vt:lpstr>
      <vt:lpstr>_1718m</vt:lpstr>
      <vt:lpstr>_1737</vt:lpstr>
      <vt:lpstr>_1737b</vt:lpstr>
      <vt:lpstr>_1737c</vt:lpstr>
      <vt:lpstr>_1737f</vt:lpstr>
      <vt:lpstr>_1737g</vt:lpstr>
      <vt:lpstr>_1737h</vt:lpstr>
      <vt:lpstr>_1737i</vt:lpstr>
      <vt:lpstr>_1737j</vt:lpstr>
      <vt:lpstr>_1737k</vt:lpstr>
      <vt:lpstr>_1737l</vt:lpstr>
      <vt:lpstr>_1737m</vt:lpstr>
      <vt:lpstr>_1738</vt:lpstr>
      <vt:lpstr>_1738b</vt:lpstr>
      <vt:lpstr>_1738c</vt:lpstr>
      <vt:lpstr>_1738f</vt:lpstr>
      <vt:lpstr>_1738g</vt:lpstr>
      <vt:lpstr>_1738h</vt:lpstr>
      <vt:lpstr>_1738i</vt:lpstr>
      <vt:lpstr>_1738j</vt:lpstr>
      <vt:lpstr>_1738k</vt:lpstr>
      <vt:lpstr>_1738l</vt:lpstr>
      <vt:lpstr>_1738m</vt:lpstr>
      <vt:lpstr>_1739</vt:lpstr>
      <vt:lpstr>_1739b</vt:lpstr>
      <vt:lpstr>_1739c</vt:lpstr>
      <vt:lpstr>_1739f</vt:lpstr>
      <vt:lpstr>_1739g</vt:lpstr>
      <vt:lpstr>_1739h</vt:lpstr>
      <vt:lpstr>_1739i</vt:lpstr>
      <vt:lpstr>_1739j</vt:lpstr>
      <vt:lpstr>_1739k</vt:lpstr>
      <vt:lpstr>_1739l</vt:lpstr>
      <vt:lpstr>_1739m</vt:lpstr>
      <vt:lpstr>_1740</vt:lpstr>
      <vt:lpstr>_1740b</vt:lpstr>
      <vt:lpstr>_1740c</vt:lpstr>
      <vt:lpstr>_1740f</vt:lpstr>
      <vt:lpstr>_1740g</vt:lpstr>
      <vt:lpstr>_1740h</vt:lpstr>
      <vt:lpstr>_1740i</vt:lpstr>
      <vt:lpstr>_1740j</vt:lpstr>
      <vt:lpstr>_1740k</vt:lpstr>
      <vt:lpstr>_1740l</vt:lpstr>
      <vt:lpstr>_1740m</vt:lpstr>
      <vt:lpstr>_1753</vt:lpstr>
      <vt:lpstr>_1753b</vt:lpstr>
      <vt:lpstr>_1753c</vt:lpstr>
      <vt:lpstr>_1753f</vt:lpstr>
      <vt:lpstr>_1753g</vt:lpstr>
      <vt:lpstr>_1753h</vt:lpstr>
      <vt:lpstr>_1753i</vt:lpstr>
      <vt:lpstr>_1753j</vt:lpstr>
      <vt:lpstr>_1753k</vt:lpstr>
      <vt:lpstr>_1753l</vt:lpstr>
      <vt:lpstr>_1753m</vt:lpstr>
      <vt:lpstr>_1753t</vt:lpstr>
      <vt:lpstr>_1754</vt:lpstr>
      <vt:lpstr>_1754b</vt:lpstr>
      <vt:lpstr>_1754c</vt:lpstr>
      <vt:lpstr>_1754f</vt:lpstr>
      <vt:lpstr>_1754g</vt:lpstr>
      <vt:lpstr>_1754h</vt:lpstr>
      <vt:lpstr>_1754i</vt:lpstr>
      <vt:lpstr>_1754j</vt:lpstr>
      <vt:lpstr>_1754k</vt:lpstr>
      <vt:lpstr>_1754l</vt:lpstr>
      <vt:lpstr>_1754m</vt:lpstr>
      <vt:lpstr>_1754t</vt:lpstr>
      <vt:lpstr>_1755</vt:lpstr>
      <vt:lpstr>_1755b</vt:lpstr>
      <vt:lpstr>_1755c</vt:lpstr>
      <vt:lpstr>_1755f</vt:lpstr>
      <vt:lpstr>_1755g</vt:lpstr>
      <vt:lpstr>_1755h</vt:lpstr>
      <vt:lpstr>_1755i</vt:lpstr>
      <vt:lpstr>_1755j</vt:lpstr>
      <vt:lpstr>_1755k</vt:lpstr>
      <vt:lpstr>_1755l</vt:lpstr>
      <vt:lpstr>_1755m</vt:lpstr>
      <vt:lpstr>_1755t</vt:lpstr>
      <vt:lpstr>_1758</vt:lpstr>
      <vt:lpstr>_1758b</vt:lpstr>
      <vt:lpstr>_1758c</vt:lpstr>
      <vt:lpstr>_1758f</vt:lpstr>
      <vt:lpstr>_1758g</vt:lpstr>
      <vt:lpstr>_1758h</vt:lpstr>
      <vt:lpstr>_1758i</vt:lpstr>
      <vt:lpstr>_1758j</vt:lpstr>
      <vt:lpstr>_1758k</vt:lpstr>
      <vt:lpstr>_1758l</vt:lpstr>
      <vt:lpstr>_1758m</vt:lpstr>
      <vt:lpstr>_1758t</vt:lpstr>
      <vt:lpstr>_1779</vt:lpstr>
      <vt:lpstr>_1779b</vt:lpstr>
      <vt:lpstr>_1779c</vt:lpstr>
      <vt:lpstr>_1779f</vt:lpstr>
      <vt:lpstr>_1779g</vt:lpstr>
      <vt:lpstr>_1779h</vt:lpstr>
      <vt:lpstr>_1779i</vt:lpstr>
      <vt:lpstr>_1779j</vt:lpstr>
      <vt:lpstr>_1779k</vt:lpstr>
      <vt:lpstr>_1779l</vt:lpstr>
      <vt:lpstr>_1779m</vt:lpstr>
      <vt:lpstr>_1780</vt:lpstr>
      <vt:lpstr>_1780b</vt:lpstr>
      <vt:lpstr>_1780c</vt:lpstr>
      <vt:lpstr>_1780f</vt:lpstr>
      <vt:lpstr>_1780g</vt:lpstr>
      <vt:lpstr>_1780h</vt:lpstr>
      <vt:lpstr>_1780i</vt:lpstr>
      <vt:lpstr>_1780j</vt:lpstr>
      <vt:lpstr>_1780k</vt:lpstr>
      <vt:lpstr>_1780l</vt:lpstr>
      <vt:lpstr>_1780m</vt:lpstr>
      <vt:lpstr>_1783</vt:lpstr>
      <vt:lpstr>_1783b</vt:lpstr>
      <vt:lpstr>_1783c</vt:lpstr>
      <vt:lpstr>_1783f</vt:lpstr>
      <vt:lpstr>_1783g</vt:lpstr>
      <vt:lpstr>_1783h</vt:lpstr>
      <vt:lpstr>_1783i</vt:lpstr>
      <vt:lpstr>_1783j</vt:lpstr>
      <vt:lpstr>_1783k</vt:lpstr>
      <vt:lpstr>_1783l</vt:lpstr>
      <vt:lpstr>_1783m</vt:lpstr>
      <vt:lpstr>_1784</vt:lpstr>
      <vt:lpstr>_1784b</vt:lpstr>
      <vt:lpstr>_1784c</vt:lpstr>
      <vt:lpstr>_1784f</vt:lpstr>
      <vt:lpstr>_1784g</vt:lpstr>
      <vt:lpstr>_1784h</vt:lpstr>
      <vt:lpstr>_1784i</vt:lpstr>
      <vt:lpstr>_1784j</vt:lpstr>
      <vt:lpstr>_1784k</vt:lpstr>
      <vt:lpstr>_1784l</vt:lpstr>
      <vt:lpstr>_1784m</vt:lpstr>
      <vt:lpstr>_1787</vt:lpstr>
      <vt:lpstr>_1787b</vt:lpstr>
      <vt:lpstr>_1787c</vt:lpstr>
      <vt:lpstr>_1787f</vt:lpstr>
      <vt:lpstr>_1787g</vt:lpstr>
      <vt:lpstr>_1787h</vt:lpstr>
      <vt:lpstr>_1787i</vt:lpstr>
      <vt:lpstr>_1787j</vt:lpstr>
      <vt:lpstr>_1787k</vt:lpstr>
      <vt:lpstr>_1787l</vt:lpstr>
      <vt:lpstr>_1787m</vt:lpstr>
      <vt:lpstr>_1787t</vt:lpstr>
      <vt:lpstr>_1788</vt:lpstr>
      <vt:lpstr>_1788b</vt:lpstr>
      <vt:lpstr>_1788c</vt:lpstr>
      <vt:lpstr>_1788f</vt:lpstr>
      <vt:lpstr>_1788g</vt:lpstr>
      <vt:lpstr>_1788h</vt:lpstr>
      <vt:lpstr>_1788i</vt:lpstr>
      <vt:lpstr>_1788j</vt:lpstr>
      <vt:lpstr>_1788k</vt:lpstr>
      <vt:lpstr>_1788l</vt:lpstr>
      <vt:lpstr>_1788m</vt:lpstr>
      <vt:lpstr>_1788t</vt:lpstr>
      <vt:lpstr>_1789</vt:lpstr>
      <vt:lpstr>_1789b</vt:lpstr>
      <vt:lpstr>_1789c</vt:lpstr>
      <vt:lpstr>_1789f</vt:lpstr>
      <vt:lpstr>_1789g</vt:lpstr>
      <vt:lpstr>_1789h</vt:lpstr>
      <vt:lpstr>_1789i</vt:lpstr>
      <vt:lpstr>_1789j</vt:lpstr>
      <vt:lpstr>_1789k</vt:lpstr>
      <vt:lpstr>_1789l</vt:lpstr>
      <vt:lpstr>_1789m</vt:lpstr>
      <vt:lpstr>_1789t</vt:lpstr>
      <vt:lpstr>_1789v</vt:lpstr>
      <vt:lpstr>_1789w</vt:lpstr>
      <vt:lpstr>_1795</vt:lpstr>
      <vt:lpstr>_1795b</vt:lpstr>
      <vt:lpstr>_1795c</vt:lpstr>
      <vt:lpstr>_1795f</vt:lpstr>
      <vt:lpstr>_1795g</vt:lpstr>
      <vt:lpstr>_1795h</vt:lpstr>
      <vt:lpstr>_1795i</vt:lpstr>
      <vt:lpstr>_1795j</vt:lpstr>
      <vt:lpstr>_1795k</vt:lpstr>
      <vt:lpstr>_1795l</vt:lpstr>
      <vt:lpstr>_1795m</vt:lpstr>
      <vt:lpstr>_1799</vt:lpstr>
      <vt:lpstr>_1799b</vt:lpstr>
      <vt:lpstr>_1799c</vt:lpstr>
      <vt:lpstr>_1799f</vt:lpstr>
      <vt:lpstr>_1799g</vt:lpstr>
      <vt:lpstr>_1799h</vt:lpstr>
      <vt:lpstr>_1799i</vt:lpstr>
      <vt:lpstr>_1799j</vt:lpstr>
      <vt:lpstr>_1799k</vt:lpstr>
      <vt:lpstr>_1799l</vt:lpstr>
      <vt:lpstr>_1799m</vt:lpstr>
      <vt:lpstr>_1801</vt:lpstr>
      <vt:lpstr>_1801b</vt:lpstr>
      <vt:lpstr>_1801c</vt:lpstr>
      <vt:lpstr>_1801f</vt:lpstr>
      <vt:lpstr>_1801g</vt:lpstr>
      <vt:lpstr>_1801h</vt:lpstr>
      <vt:lpstr>_1801i</vt:lpstr>
      <vt:lpstr>_1801j</vt:lpstr>
      <vt:lpstr>_1801k</vt:lpstr>
      <vt:lpstr>_1801l</vt:lpstr>
      <vt:lpstr>_1801m</vt:lpstr>
      <vt:lpstr>_1821</vt:lpstr>
      <vt:lpstr>_1821b</vt:lpstr>
      <vt:lpstr>_1821c</vt:lpstr>
      <vt:lpstr>_1821f</vt:lpstr>
      <vt:lpstr>_1821g</vt:lpstr>
      <vt:lpstr>_1821h</vt:lpstr>
      <vt:lpstr>_1821i</vt:lpstr>
      <vt:lpstr>_1821j</vt:lpstr>
      <vt:lpstr>_1821k</vt:lpstr>
      <vt:lpstr>_1821l</vt:lpstr>
      <vt:lpstr>_1821m</vt:lpstr>
      <vt:lpstr>_1836</vt:lpstr>
      <vt:lpstr>_1836b</vt:lpstr>
      <vt:lpstr>_1836c</vt:lpstr>
      <vt:lpstr>_1836f</vt:lpstr>
      <vt:lpstr>_1836g</vt:lpstr>
      <vt:lpstr>_1836h</vt:lpstr>
      <vt:lpstr>_1836i</vt:lpstr>
      <vt:lpstr>_1836j</vt:lpstr>
      <vt:lpstr>_1836k</vt:lpstr>
      <vt:lpstr>_1836l</vt:lpstr>
      <vt:lpstr>_1836m</vt:lpstr>
      <vt:lpstr>_1837</vt:lpstr>
      <vt:lpstr>_1837b</vt:lpstr>
      <vt:lpstr>_1837c</vt:lpstr>
      <vt:lpstr>_1837f</vt:lpstr>
      <vt:lpstr>_1837g</vt:lpstr>
      <vt:lpstr>_1837h</vt:lpstr>
      <vt:lpstr>_1837i</vt:lpstr>
      <vt:lpstr>_1837j</vt:lpstr>
      <vt:lpstr>_1837k</vt:lpstr>
      <vt:lpstr>_1837l</vt:lpstr>
      <vt:lpstr>_1837m</vt:lpstr>
      <vt:lpstr>_1848</vt:lpstr>
      <vt:lpstr>_1848b</vt:lpstr>
      <vt:lpstr>_1848c</vt:lpstr>
      <vt:lpstr>_1848f</vt:lpstr>
      <vt:lpstr>_1848g</vt:lpstr>
      <vt:lpstr>_1848h</vt:lpstr>
      <vt:lpstr>_1848i</vt:lpstr>
      <vt:lpstr>_1848j</vt:lpstr>
      <vt:lpstr>_1848k</vt:lpstr>
      <vt:lpstr>_1848l</vt:lpstr>
      <vt:lpstr>_1848m</vt:lpstr>
      <vt:lpstr>_1883</vt:lpstr>
      <vt:lpstr>_1883b</vt:lpstr>
      <vt:lpstr>_1883c</vt:lpstr>
      <vt:lpstr>_1883f</vt:lpstr>
      <vt:lpstr>_1883g</vt:lpstr>
      <vt:lpstr>_1883h</vt:lpstr>
      <vt:lpstr>_1883i</vt:lpstr>
      <vt:lpstr>_1883j</vt:lpstr>
      <vt:lpstr>_1883k</vt:lpstr>
      <vt:lpstr>_1883l</vt:lpstr>
      <vt:lpstr>_1883m</vt:lpstr>
      <vt:lpstr>_1884</vt:lpstr>
      <vt:lpstr>_1884b</vt:lpstr>
      <vt:lpstr>_1884c</vt:lpstr>
      <vt:lpstr>_1884f</vt:lpstr>
      <vt:lpstr>_1884g</vt:lpstr>
      <vt:lpstr>_1884h</vt:lpstr>
      <vt:lpstr>_1884i</vt:lpstr>
      <vt:lpstr>_1884j</vt:lpstr>
      <vt:lpstr>_1884k</vt:lpstr>
      <vt:lpstr>_1884l</vt:lpstr>
      <vt:lpstr>_1884m</vt:lpstr>
      <vt:lpstr>_1891</vt:lpstr>
      <vt:lpstr>_1891b</vt:lpstr>
      <vt:lpstr>_1891c</vt:lpstr>
      <vt:lpstr>_1891f</vt:lpstr>
      <vt:lpstr>_1891g</vt:lpstr>
      <vt:lpstr>_1891h</vt:lpstr>
      <vt:lpstr>_1891i</vt:lpstr>
      <vt:lpstr>_1891j</vt:lpstr>
      <vt:lpstr>_1891k</vt:lpstr>
      <vt:lpstr>_1891l</vt:lpstr>
      <vt:lpstr>_1891m</vt:lpstr>
      <vt:lpstr>_1891t</vt:lpstr>
      <vt:lpstr>_1892</vt:lpstr>
      <vt:lpstr>_1892b</vt:lpstr>
      <vt:lpstr>_1892c</vt:lpstr>
      <vt:lpstr>_1892f</vt:lpstr>
      <vt:lpstr>_1892g</vt:lpstr>
      <vt:lpstr>_1892h</vt:lpstr>
      <vt:lpstr>_1892i</vt:lpstr>
      <vt:lpstr>_1892j</vt:lpstr>
      <vt:lpstr>_1892k</vt:lpstr>
      <vt:lpstr>_1892l</vt:lpstr>
      <vt:lpstr>_1892m</vt:lpstr>
      <vt:lpstr>_1892t</vt:lpstr>
      <vt:lpstr>_1893</vt:lpstr>
      <vt:lpstr>_1893b</vt:lpstr>
      <vt:lpstr>_1893c</vt:lpstr>
      <vt:lpstr>_1893f</vt:lpstr>
      <vt:lpstr>_1893g</vt:lpstr>
      <vt:lpstr>_1893h</vt:lpstr>
      <vt:lpstr>_1893i</vt:lpstr>
      <vt:lpstr>_1893j</vt:lpstr>
      <vt:lpstr>_1893k</vt:lpstr>
      <vt:lpstr>_1893l</vt:lpstr>
      <vt:lpstr>_1893m</vt:lpstr>
      <vt:lpstr>_1893t</vt:lpstr>
      <vt:lpstr>_1893v</vt:lpstr>
      <vt:lpstr>_1893w</vt:lpstr>
      <vt:lpstr>_1896</vt:lpstr>
      <vt:lpstr>_1896b</vt:lpstr>
      <vt:lpstr>_1896c</vt:lpstr>
      <vt:lpstr>_1896f</vt:lpstr>
      <vt:lpstr>_1896g</vt:lpstr>
      <vt:lpstr>_1896h</vt:lpstr>
      <vt:lpstr>_1896i</vt:lpstr>
      <vt:lpstr>_1896j</vt:lpstr>
      <vt:lpstr>_1896k</vt:lpstr>
      <vt:lpstr>_1896l</vt:lpstr>
      <vt:lpstr>_1896m</vt:lpstr>
      <vt:lpstr>_1903</vt:lpstr>
      <vt:lpstr>_1903b</vt:lpstr>
      <vt:lpstr>_1903c</vt:lpstr>
      <vt:lpstr>_1903f</vt:lpstr>
      <vt:lpstr>_1903g</vt:lpstr>
      <vt:lpstr>_1903h</vt:lpstr>
      <vt:lpstr>_1903i</vt:lpstr>
      <vt:lpstr>_1903j</vt:lpstr>
      <vt:lpstr>_1903k</vt:lpstr>
      <vt:lpstr>_1903l</vt:lpstr>
      <vt:lpstr>_1903m</vt:lpstr>
      <vt:lpstr>_1905</vt:lpstr>
      <vt:lpstr>_1905b</vt:lpstr>
      <vt:lpstr>_1905c</vt:lpstr>
      <vt:lpstr>_1905f</vt:lpstr>
      <vt:lpstr>_1905g</vt:lpstr>
      <vt:lpstr>_1905h</vt:lpstr>
      <vt:lpstr>_1905i</vt:lpstr>
      <vt:lpstr>_1905j</vt:lpstr>
      <vt:lpstr>_1905k</vt:lpstr>
      <vt:lpstr>_1905l</vt:lpstr>
      <vt:lpstr>_1905m</vt:lpstr>
      <vt:lpstr>_1907</vt:lpstr>
      <vt:lpstr>_1907b</vt:lpstr>
      <vt:lpstr>_1907c</vt:lpstr>
      <vt:lpstr>_1907f</vt:lpstr>
      <vt:lpstr>_1907g</vt:lpstr>
      <vt:lpstr>_1907h</vt:lpstr>
      <vt:lpstr>_1907i</vt:lpstr>
      <vt:lpstr>_1907j</vt:lpstr>
      <vt:lpstr>_1907k</vt:lpstr>
      <vt:lpstr>_1907l</vt:lpstr>
      <vt:lpstr>_1907m</vt:lpstr>
      <vt:lpstr>_1908</vt:lpstr>
      <vt:lpstr>_1908b</vt:lpstr>
      <vt:lpstr>_1908c</vt:lpstr>
      <vt:lpstr>_1908f</vt:lpstr>
      <vt:lpstr>_1908g</vt:lpstr>
      <vt:lpstr>_1908h</vt:lpstr>
      <vt:lpstr>_1908i</vt:lpstr>
      <vt:lpstr>_1908J</vt:lpstr>
      <vt:lpstr>_1908k</vt:lpstr>
      <vt:lpstr>_1908l</vt:lpstr>
      <vt:lpstr>_1908m</vt:lpstr>
      <vt:lpstr>_1909</vt:lpstr>
      <vt:lpstr>_1909b</vt:lpstr>
      <vt:lpstr>_1909c</vt:lpstr>
      <vt:lpstr>_1909f</vt:lpstr>
      <vt:lpstr>_1909g</vt:lpstr>
      <vt:lpstr>_1909h</vt:lpstr>
      <vt:lpstr>_1909i</vt:lpstr>
      <vt:lpstr>_1909j</vt:lpstr>
      <vt:lpstr>_1909k</vt:lpstr>
      <vt:lpstr>_1909l</vt:lpstr>
      <vt:lpstr>_1909m</vt:lpstr>
      <vt:lpstr>_1911</vt:lpstr>
      <vt:lpstr>_1911b</vt:lpstr>
      <vt:lpstr>_1911c</vt:lpstr>
      <vt:lpstr>_1911f</vt:lpstr>
      <vt:lpstr>_1911g</vt:lpstr>
      <vt:lpstr>_1911h</vt:lpstr>
      <vt:lpstr>_1911i</vt:lpstr>
      <vt:lpstr>_1911j</vt:lpstr>
      <vt:lpstr>_1911k</vt:lpstr>
      <vt:lpstr>_1911l</vt:lpstr>
      <vt:lpstr>_1911m</vt:lpstr>
      <vt:lpstr>_1912</vt:lpstr>
      <vt:lpstr>_1912b</vt:lpstr>
      <vt:lpstr>_1912c</vt:lpstr>
      <vt:lpstr>_1912f</vt:lpstr>
      <vt:lpstr>_1912g</vt:lpstr>
      <vt:lpstr>_1912h</vt:lpstr>
      <vt:lpstr>_1912i</vt:lpstr>
      <vt:lpstr>_1912j</vt:lpstr>
      <vt:lpstr>_1912k</vt:lpstr>
      <vt:lpstr>_1912l</vt:lpstr>
      <vt:lpstr>_1912m</vt:lpstr>
      <vt:lpstr>_1932</vt:lpstr>
      <vt:lpstr>_1932b</vt:lpstr>
      <vt:lpstr>_1932c</vt:lpstr>
      <vt:lpstr>_1932f</vt:lpstr>
      <vt:lpstr>_1932g</vt:lpstr>
      <vt:lpstr>_1932h</vt:lpstr>
      <vt:lpstr>_1932i</vt:lpstr>
      <vt:lpstr>_1932j</vt:lpstr>
      <vt:lpstr>_1932k</vt:lpstr>
      <vt:lpstr>_1932l</vt:lpstr>
      <vt:lpstr>_1932m</vt:lpstr>
      <vt:lpstr>_1932n</vt:lpstr>
      <vt:lpstr>_1932o</vt:lpstr>
      <vt:lpstr>_1932t</vt:lpstr>
      <vt:lpstr>_1933</vt:lpstr>
      <vt:lpstr>_1933b</vt:lpstr>
      <vt:lpstr>_1933c</vt:lpstr>
      <vt:lpstr>_1933f</vt:lpstr>
      <vt:lpstr>_1933g</vt:lpstr>
      <vt:lpstr>_1933h</vt:lpstr>
      <vt:lpstr>_1933i</vt:lpstr>
      <vt:lpstr>_1933j</vt:lpstr>
      <vt:lpstr>_1933k</vt:lpstr>
      <vt:lpstr>_1933l</vt:lpstr>
      <vt:lpstr>_1933m</vt:lpstr>
      <vt:lpstr>_1933t</vt:lpstr>
      <vt:lpstr>_1934</vt:lpstr>
      <vt:lpstr>_1934b</vt:lpstr>
      <vt:lpstr>_1934c</vt:lpstr>
      <vt:lpstr>_1934f</vt:lpstr>
      <vt:lpstr>_1934g</vt:lpstr>
      <vt:lpstr>_1934h</vt:lpstr>
      <vt:lpstr>_1934i</vt:lpstr>
      <vt:lpstr>_1934j</vt:lpstr>
      <vt:lpstr>_1934k</vt:lpstr>
      <vt:lpstr>_1934l</vt:lpstr>
      <vt:lpstr>_1934m</vt:lpstr>
      <vt:lpstr>_1934n</vt:lpstr>
      <vt:lpstr>_1934o</vt:lpstr>
      <vt:lpstr>_1934t</vt:lpstr>
      <vt:lpstr>_1935</vt:lpstr>
      <vt:lpstr>_1935b</vt:lpstr>
      <vt:lpstr>_1935c</vt:lpstr>
      <vt:lpstr>_1935f</vt:lpstr>
      <vt:lpstr>_1935g</vt:lpstr>
      <vt:lpstr>_1935h</vt:lpstr>
      <vt:lpstr>_1935i</vt:lpstr>
      <vt:lpstr>_1935j</vt:lpstr>
      <vt:lpstr>_1935k</vt:lpstr>
      <vt:lpstr>_1935l</vt:lpstr>
      <vt:lpstr>_1935m</vt:lpstr>
      <vt:lpstr>_1936</vt:lpstr>
      <vt:lpstr>_1936b</vt:lpstr>
      <vt:lpstr>_1936c</vt:lpstr>
      <vt:lpstr>_1936f</vt:lpstr>
      <vt:lpstr>_1936g</vt:lpstr>
      <vt:lpstr>_1936h</vt:lpstr>
      <vt:lpstr>_1936i</vt:lpstr>
      <vt:lpstr>_1936j</vt:lpstr>
      <vt:lpstr>_1936k</vt:lpstr>
      <vt:lpstr>_1936l</vt:lpstr>
      <vt:lpstr>_1936m</vt:lpstr>
      <vt:lpstr>_1937</vt:lpstr>
      <vt:lpstr>_1937b</vt:lpstr>
      <vt:lpstr>_1937c</vt:lpstr>
      <vt:lpstr>_1937f</vt:lpstr>
      <vt:lpstr>_1937g</vt:lpstr>
      <vt:lpstr>_1937h</vt:lpstr>
      <vt:lpstr>_1937i</vt:lpstr>
      <vt:lpstr>_1937j</vt:lpstr>
      <vt:lpstr>_1937k</vt:lpstr>
      <vt:lpstr>_1937l</vt:lpstr>
      <vt:lpstr>_1937m</vt:lpstr>
      <vt:lpstr>_1937n</vt:lpstr>
      <vt:lpstr>_1937o</vt:lpstr>
      <vt:lpstr>_1937t</vt:lpstr>
      <vt:lpstr>_1945</vt:lpstr>
      <vt:lpstr>_1945b</vt:lpstr>
      <vt:lpstr>_1945c</vt:lpstr>
      <vt:lpstr>_1945f</vt:lpstr>
      <vt:lpstr>_1945g</vt:lpstr>
      <vt:lpstr>_1945h</vt:lpstr>
      <vt:lpstr>_1945i</vt:lpstr>
      <vt:lpstr>_1945j</vt:lpstr>
      <vt:lpstr>_1945k</vt:lpstr>
      <vt:lpstr>_1945l</vt:lpstr>
      <vt:lpstr>_1945m</vt:lpstr>
      <vt:lpstr>_1945n</vt:lpstr>
      <vt:lpstr>_1945o</vt:lpstr>
      <vt:lpstr>_1947</vt:lpstr>
      <vt:lpstr>_1947b</vt:lpstr>
      <vt:lpstr>_1947c</vt:lpstr>
      <vt:lpstr>_1947f</vt:lpstr>
      <vt:lpstr>_1947g</vt:lpstr>
      <vt:lpstr>_1947h</vt:lpstr>
      <vt:lpstr>_1947i</vt:lpstr>
      <vt:lpstr>_1947j</vt:lpstr>
      <vt:lpstr>_1947k</vt:lpstr>
      <vt:lpstr>_1947l</vt:lpstr>
      <vt:lpstr>_1947m</vt:lpstr>
      <vt:lpstr>_1963</vt:lpstr>
      <vt:lpstr>_1963b</vt:lpstr>
      <vt:lpstr>_1963c</vt:lpstr>
      <vt:lpstr>_1963f</vt:lpstr>
      <vt:lpstr>_1963g</vt:lpstr>
      <vt:lpstr>_1963h</vt:lpstr>
      <vt:lpstr>_1963i</vt:lpstr>
      <vt:lpstr>_1963j</vt:lpstr>
      <vt:lpstr>_1963k</vt:lpstr>
      <vt:lpstr>_1963l</vt:lpstr>
      <vt:lpstr>_1963m</vt:lpstr>
      <vt:lpstr>_1964</vt:lpstr>
      <vt:lpstr>_1964b</vt:lpstr>
      <vt:lpstr>_1964c</vt:lpstr>
      <vt:lpstr>_1964f</vt:lpstr>
      <vt:lpstr>_1964g</vt:lpstr>
      <vt:lpstr>_1964h</vt:lpstr>
      <vt:lpstr>_1964i</vt:lpstr>
      <vt:lpstr>_1964j</vt:lpstr>
      <vt:lpstr>_1964k</vt:lpstr>
      <vt:lpstr>_1964l</vt:lpstr>
      <vt:lpstr>_1964m</vt:lpstr>
      <vt:lpstr>_1965</vt:lpstr>
      <vt:lpstr>_1965b</vt:lpstr>
      <vt:lpstr>_1965c</vt:lpstr>
      <vt:lpstr>_1965f</vt:lpstr>
      <vt:lpstr>_1965g</vt:lpstr>
      <vt:lpstr>_1965h</vt:lpstr>
      <vt:lpstr>_1965i</vt:lpstr>
      <vt:lpstr>_1965j</vt:lpstr>
      <vt:lpstr>_1965k</vt:lpstr>
      <vt:lpstr>_1965l</vt:lpstr>
      <vt:lpstr>_1965m</vt:lpstr>
      <vt:lpstr>_1966</vt:lpstr>
      <vt:lpstr>_1966b</vt:lpstr>
      <vt:lpstr>_1966c</vt:lpstr>
      <vt:lpstr>_1966f</vt:lpstr>
      <vt:lpstr>_1966g</vt:lpstr>
      <vt:lpstr>_1966h</vt:lpstr>
      <vt:lpstr>_1966i</vt:lpstr>
      <vt:lpstr>_1966j</vt:lpstr>
      <vt:lpstr>_1966k</vt:lpstr>
      <vt:lpstr>_1966l</vt:lpstr>
      <vt:lpstr>_1966m</vt:lpstr>
      <vt:lpstr>_1968</vt:lpstr>
      <vt:lpstr>_1968b</vt:lpstr>
      <vt:lpstr>_1968c</vt:lpstr>
      <vt:lpstr>_1968f</vt:lpstr>
      <vt:lpstr>_1968g</vt:lpstr>
      <vt:lpstr>_1968h</vt:lpstr>
      <vt:lpstr>_1968i</vt:lpstr>
      <vt:lpstr>_1968j</vt:lpstr>
      <vt:lpstr>_1968k</vt:lpstr>
      <vt:lpstr>_1968l</vt:lpstr>
      <vt:lpstr>_1968m</vt:lpstr>
      <vt:lpstr>_1972</vt:lpstr>
      <vt:lpstr>_1972b</vt:lpstr>
      <vt:lpstr>_1972c</vt:lpstr>
      <vt:lpstr>_1972f</vt:lpstr>
      <vt:lpstr>_1972g</vt:lpstr>
      <vt:lpstr>_1972h</vt:lpstr>
      <vt:lpstr>_1972i</vt:lpstr>
      <vt:lpstr>_1972j</vt:lpstr>
      <vt:lpstr>_1972k</vt:lpstr>
      <vt:lpstr>_1972l</vt:lpstr>
      <vt:lpstr>_1972m</vt:lpstr>
      <vt:lpstr>_1981</vt:lpstr>
      <vt:lpstr>_1981b</vt:lpstr>
      <vt:lpstr>_1981c</vt:lpstr>
      <vt:lpstr>_1981f</vt:lpstr>
      <vt:lpstr>_1981g</vt:lpstr>
      <vt:lpstr>_1981h</vt:lpstr>
      <vt:lpstr>_1981i</vt:lpstr>
      <vt:lpstr>_1981j</vt:lpstr>
      <vt:lpstr>_1981k</vt:lpstr>
      <vt:lpstr>_1981l</vt:lpstr>
      <vt:lpstr>_1981m</vt:lpstr>
      <vt:lpstr>_1981n</vt:lpstr>
      <vt:lpstr>_1981o</vt:lpstr>
      <vt:lpstr>_1996</vt:lpstr>
      <vt:lpstr>_1996b</vt:lpstr>
      <vt:lpstr>_1996c</vt:lpstr>
      <vt:lpstr>_1996f</vt:lpstr>
      <vt:lpstr>_1996g</vt:lpstr>
      <vt:lpstr>_1996h</vt:lpstr>
      <vt:lpstr>_1996i</vt:lpstr>
      <vt:lpstr>_1996j</vt:lpstr>
      <vt:lpstr>_1996k</vt:lpstr>
      <vt:lpstr>_1996l</vt:lpstr>
      <vt:lpstr>_1996m</vt:lpstr>
      <vt:lpstr>_1996n</vt:lpstr>
      <vt:lpstr>_1996o</vt:lpstr>
      <vt:lpstr>_1996t</vt:lpstr>
      <vt:lpstr>_1998</vt:lpstr>
      <vt:lpstr>_1998b</vt:lpstr>
      <vt:lpstr>_1998c</vt:lpstr>
      <vt:lpstr>_1998f</vt:lpstr>
      <vt:lpstr>_1998g</vt:lpstr>
      <vt:lpstr>_1998h</vt:lpstr>
      <vt:lpstr>_1998i</vt:lpstr>
      <vt:lpstr>_1998j</vt:lpstr>
      <vt:lpstr>_1998k</vt:lpstr>
      <vt:lpstr>_1998l</vt:lpstr>
      <vt:lpstr>_1998m</vt:lpstr>
      <vt:lpstr>_1998t</vt:lpstr>
      <vt:lpstr>_2000</vt:lpstr>
      <vt:lpstr>_2000b</vt:lpstr>
      <vt:lpstr>_2000c</vt:lpstr>
      <vt:lpstr>_2000f</vt:lpstr>
      <vt:lpstr>_2000g</vt:lpstr>
      <vt:lpstr>_2000h</vt:lpstr>
      <vt:lpstr>_2000i</vt:lpstr>
      <vt:lpstr>_2000j</vt:lpstr>
      <vt:lpstr>_2000k</vt:lpstr>
      <vt:lpstr>_2000l</vt:lpstr>
      <vt:lpstr>_2000m</vt:lpstr>
      <vt:lpstr>_2000t</vt:lpstr>
      <vt:lpstr>_2015</vt:lpstr>
      <vt:lpstr>_2015b</vt:lpstr>
      <vt:lpstr>_2015c</vt:lpstr>
      <vt:lpstr>_2015f</vt:lpstr>
      <vt:lpstr>_2015g</vt:lpstr>
      <vt:lpstr>_2015h</vt:lpstr>
      <vt:lpstr>_2015i</vt:lpstr>
      <vt:lpstr>_2015j</vt:lpstr>
      <vt:lpstr>_2015k</vt:lpstr>
      <vt:lpstr>_2015l</vt:lpstr>
      <vt:lpstr>_2015m</vt:lpstr>
      <vt:lpstr>_2016</vt:lpstr>
      <vt:lpstr>_2016b</vt:lpstr>
      <vt:lpstr>_2016c</vt:lpstr>
      <vt:lpstr>_2016f</vt:lpstr>
      <vt:lpstr>_2016g</vt:lpstr>
      <vt:lpstr>_2016h</vt:lpstr>
      <vt:lpstr>_2016i</vt:lpstr>
      <vt:lpstr>_2016j</vt:lpstr>
      <vt:lpstr>_2016k</vt:lpstr>
      <vt:lpstr>_2016l</vt:lpstr>
      <vt:lpstr>_2016m</vt:lpstr>
      <vt:lpstr>_2017</vt:lpstr>
      <vt:lpstr>_2017b</vt:lpstr>
      <vt:lpstr>_2017c</vt:lpstr>
      <vt:lpstr>_2017f</vt:lpstr>
      <vt:lpstr>_2017g</vt:lpstr>
      <vt:lpstr>_2017h</vt:lpstr>
      <vt:lpstr>_2017i</vt:lpstr>
      <vt:lpstr>_2017j</vt:lpstr>
      <vt:lpstr>_2017k</vt:lpstr>
      <vt:lpstr>_2017l</vt:lpstr>
      <vt:lpstr>_2017m</vt:lpstr>
      <vt:lpstr>_2018</vt:lpstr>
      <vt:lpstr>_2018b</vt:lpstr>
      <vt:lpstr>_2018c</vt:lpstr>
      <vt:lpstr>_2018f</vt:lpstr>
      <vt:lpstr>_2018g</vt:lpstr>
      <vt:lpstr>_2018h</vt:lpstr>
      <vt:lpstr>_2018i</vt:lpstr>
      <vt:lpstr>_2018j</vt:lpstr>
      <vt:lpstr>_2018k</vt:lpstr>
      <vt:lpstr>_2018l</vt:lpstr>
      <vt:lpstr>_2018m</vt:lpstr>
      <vt:lpstr>_2018n</vt:lpstr>
      <vt:lpstr>_2018o</vt:lpstr>
      <vt:lpstr>_2019</vt:lpstr>
      <vt:lpstr>_2019b</vt:lpstr>
      <vt:lpstr>_2019c</vt:lpstr>
      <vt:lpstr>_2019f</vt:lpstr>
      <vt:lpstr>_2019g</vt:lpstr>
      <vt:lpstr>_2019h</vt:lpstr>
      <vt:lpstr>_2019i</vt:lpstr>
      <vt:lpstr>_2019j</vt:lpstr>
      <vt:lpstr>_2019k</vt:lpstr>
      <vt:lpstr>_2019l</vt:lpstr>
      <vt:lpstr>_2019m</vt:lpstr>
      <vt:lpstr>_2019t</vt:lpstr>
      <vt:lpstr>_2020</vt:lpstr>
      <vt:lpstr>_2020b</vt:lpstr>
      <vt:lpstr>_2020c</vt:lpstr>
      <vt:lpstr>_2020f</vt:lpstr>
      <vt:lpstr>_2020g</vt:lpstr>
      <vt:lpstr>_2020h</vt:lpstr>
      <vt:lpstr>_2020i</vt:lpstr>
      <vt:lpstr>_2020j</vt:lpstr>
      <vt:lpstr>_2020k</vt:lpstr>
      <vt:lpstr>_2020l</vt:lpstr>
      <vt:lpstr>_2020m</vt:lpstr>
      <vt:lpstr>_2020t</vt:lpstr>
      <vt:lpstr>_2021</vt:lpstr>
      <vt:lpstr>_2021b</vt:lpstr>
      <vt:lpstr>_2021c</vt:lpstr>
      <vt:lpstr>_2021f</vt:lpstr>
      <vt:lpstr>_2021g</vt:lpstr>
      <vt:lpstr>_2021h</vt:lpstr>
      <vt:lpstr>_2021i</vt:lpstr>
      <vt:lpstr>_2021j</vt:lpstr>
      <vt:lpstr>_2021k</vt:lpstr>
      <vt:lpstr>_2021l</vt:lpstr>
      <vt:lpstr>_2021m</vt:lpstr>
      <vt:lpstr>_2021n</vt:lpstr>
      <vt:lpstr>_2021o</vt:lpstr>
      <vt:lpstr>_2021t</vt:lpstr>
      <vt:lpstr>_2022</vt:lpstr>
      <vt:lpstr>_2022b</vt:lpstr>
      <vt:lpstr>_2022c</vt:lpstr>
      <vt:lpstr>_2022f</vt:lpstr>
      <vt:lpstr>_2022g</vt:lpstr>
      <vt:lpstr>_2022h</vt:lpstr>
      <vt:lpstr>_2022i</vt:lpstr>
      <vt:lpstr>_2022j</vt:lpstr>
      <vt:lpstr>_2022k</vt:lpstr>
      <vt:lpstr>_2022l</vt:lpstr>
      <vt:lpstr>_2022m</vt:lpstr>
      <vt:lpstr>_2022n</vt:lpstr>
      <vt:lpstr>_2022o</vt:lpstr>
      <vt:lpstr>_2022t</vt:lpstr>
      <vt:lpstr>_2046</vt:lpstr>
      <vt:lpstr>_2046b</vt:lpstr>
      <vt:lpstr>_2046c</vt:lpstr>
      <vt:lpstr>_2046f</vt:lpstr>
      <vt:lpstr>_2046g</vt:lpstr>
      <vt:lpstr>_2046h</vt:lpstr>
      <vt:lpstr>_2046i</vt:lpstr>
      <vt:lpstr>_2046j</vt:lpstr>
      <vt:lpstr>_2046k</vt:lpstr>
      <vt:lpstr>_2046l</vt:lpstr>
      <vt:lpstr>_2046m</vt:lpstr>
      <vt:lpstr>_2047</vt:lpstr>
      <vt:lpstr>_2047b</vt:lpstr>
      <vt:lpstr>_2047c</vt:lpstr>
      <vt:lpstr>_2047f</vt:lpstr>
      <vt:lpstr>_2047g</vt:lpstr>
      <vt:lpstr>_2047h</vt:lpstr>
      <vt:lpstr>_2047i</vt:lpstr>
      <vt:lpstr>_2047j</vt:lpstr>
      <vt:lpstr>_2047k</vt:lpstr>
      <vt:lpstr>_2047l</vt:lpstr>
      <vt:lpstr>_2047m</vt:lpstr>
      <vt:lpstr>_2048</vt:lpstr>
      <vt:lpstr>_2048b</vt:lpstr>
      <vt:lpstr>_2048c</vt:lpstr>
      <vt:lpstr>_2048f</vt:lpstr>
      <vt:lpstr>_2048g</vt:lpstr>
      <vt:lpstr>_2048h</vt:lpstr>
      <vt:lpstr>_2048i</vt:lpstr>
      <vt:lpstr>_2048j</vt:lpstr>
      <vt:lpstr>_2048k</vt:lpstr>
      <vt:lpstr>_2048l</vt:lpstr>
      <vt:lpstr>_2048m</vt:lpstr>
      <vt:lpstr>_2049</vt:lpstr>
      <vt:lpstr>_2049b</vt:lpstr>
      <vt:lpstr>_2049c</vt:lpstr>
      <vt:lpstr>_2052</vt:lpstr>
      <vt:lpstr>_2052b</vt:lpstr>
      <vt:lpstr>_2052c</vt:lpstr>
      <vt:lpstr>_2052f</vt:lpstr>
      <vt:lpstr>_2052g</vt:lpstr>
      <vt:lpstr>_2052h</vt:lpstr>
      <vt:lpstr>_2052i</vt:lpstr>
      <vt:lpstr>_2052j</vt:lpstr>
      <vt:lpstr>_2052k</vt:lpstr>
      <vt:lpstr>_2052l</vt:lpstr>
      <vt:lpstr>_2052m</vt:lpstr>
      <vt:lpstr>_2052n</vt:lpstr>
      <vt:lpstr>_2052o</vt:lpstr>
      <vt:lpstr>_2053</vt:lpstr>
      <vt:lpstr>_2053b</vt:lpstr>
      <vt:lpstr>_2053c</vt:lpstr>
      <vt:lpstr>_2053f</vt:lpstr>
      <vt:lpstr>_2053g</vt:lpstr>
      <vt:lpstr>_2053h</vt:lpstr>
      <vt:lpstr>_2053i</vt:lpstr>
      <vt:lpstr>_2053j</vt:lpstr>
      <vt:lpstr>_2053k</vt:lpstr>
      <vt:lpstr>_2053l</vt:lpstr>
      <vt:lpstr>_2053m</vt:lpstr>
      <vt:lpstr>_2053n</vt:lpstr>
      <vt:lpstr>_2053o</vt:lpstr>
      <vt:lpstr>_2081</vt:lpstr>
      <vt:lpstr>_2081b</vt:lpstr>
      <vt:lpstr>_2081c</vt:lpstr>
      <vt:lpstr>_2081f</vt:lpstr>
      <vt:lpstr>_2081g</vt:lpstr>
      <vt:lpstr>_2081h</vt:lpstr>
      <vt:lpstr>_2081i</vt:lpstr>
      <vt:lpstr>_2081j</vt:lpstr>
      <vt:lpstr>_2081k</vt:lpstr>
      <vt:lpstr>_2081l</vt:lpstr>
      <vt:lpstr>_2081m</vt:lpstr>
      <vt:lpstr>_2084</vt:lpstr>
      <vt:lpstr>_2084b</vt:lpstr>
      <vt:lpstr>_2084c</vt:lpstr>
      <vt:lpstr>_2084f</vt:lpstr>
      <vt:lpstr>_2084g</vt:lpstr>
      <vt:lpstr>_2084h</vt:lpstr>
      <vt:lpstr>_2084i</vt:lpstr>
      <vt:lpstr>_2084j</vt:lpstr>
      <vt:lpstr>_2084k</vt:lpstr>
      <vt:lpstr>_2084l</vt:lpstr>
      <vt:lpstr>_2084m</vt:lpstr>
      <vt:lpstr>_2086</vt:lpstr>
      <vt:lpstr>_2086b</vt:lpstr>
      <vt:lpstr>_2086c</vt:lpstr>
      <vt:lpstr>_2086f</vt:lpstr>
      <vt:lpstr>_2086g</vt:lpstr>
      <vt:lpstr>_2086h</vt:lpstr>
      <vt:lpstr>_2086i</vt:lpstr>
      <vt:lpstr>_2086j</vt:lpstr>
      <vt:lpstr>_2086k</vt:lpstr>
      <vt:lpstr>_2086l</vt:lpstr>
      <vt:lpstr>_2086m</vt:lpstr>
      <vt:lpstr>_2087</vt:lpstr>
      <vt:lpstr>_2087b</vt:lpstr>
      <vt:lpstr>_2087c</vt:lpstr>
      <vt:lpstr>_2087f</vt:lpstr>
      <vt:lpstr>_2087g</vt:lpstr>
      <vt:lpstr>_2087h</vt:lpstr>
      <vt:lpstr>_2087i</vt:lpstr>
      <vt:lpstr>_2087j</vt:lpstr>
      <vt:lpstr>_2087k</vt:lpstr>
      <vt:lpstr>_2087l</vt:lpstr>
      <vt:lpstr>_2087m</vt:lpstr>
      <vt:lpstr>_2087t</vt:lpstr>
      <vt:lpstr>_2088</vt:lpstr>
      <vt:lpstr>_2088b</vt:lpstr>
      <vt:lpstr>_2088c</vt:lpstr>
      <vt:lpstr>_2088f</vt:lpstr>
      <vt:lpstr>_2088g</vt:lpstr>
      <vt:lpstr>_2088h</vt:lpstr>
      <vt:lpstr>_2088i</vt:lpstr>
      <vt:lpstr>_2088j</vt:lpstr>
      <vt:lpstr>_2088k</vt:lpstr>
      <vt:lpstr>_2088l</vt:lpstr>
      <vt:lpstr>_2088m</vt:lpstr>
      <vt:lpstr>_2103</vt:lpstr>
      <vt:lpstr>_2103b</vt:lpstr>
      <vt:lpstr>_2103c</vt:lpstr>
      <vt:lpstr>_2103f</vt:lpstr>
      <vt:lpstr>_2103g</vt:lpstr>
      <vt:lpstr>_2103h</vt:lpstr>
      <vt:lpstr>_2103i</vt:lpstr>
      <vt:lpstr>_2103j</vt:lpstr>
      <vt:lpstr>_2103k</vt:lpstr>
      <vt:lpstr>_2103l</vt:lpstr>
      <vt:lpstr>_2103m</vt:lpstr>
      <vt:lpstr>_2104</vt:lpstr>
      <vt:lpstr>_2104b</vt:lpstr>
      <vt:lpstr>_2104c</vt:lpstr>
      <vt:lpstr>_2104f</vt:lpstr>
      <vt:lpstr>_2104g</vt:lpstr>
      <vt:lpstr>_2104h</vt:lpstr>
      <vt:lpstr>_2104i</vt:lpstr>
      <vt:lpstr>_2104j</vt:lpstr>
      <vt:lpstr>_2104k</vt:lpstr>
      <vt:lpstr>_2104l</vt:lpstr>
      <vt:lpstr>_2104m</vt:lpstr>
      <vt:lpstr>_2128</vt:lpstr>
      <vt:lpstr>_2128b</vt:lpstr>
      <vt:lpstr>_2128c</vt:lpstr>
      <vt:lpstr>_2128f</vt:lpstr>
      <vt:lpstr>_2128g</vt:lpstr>
      <vt:lpstr>_2128h</vt:lpstr>
      <vt:lpstr>_2128i</vt:lpstr>
      <vt:lpstr>_2128j</vt:lpstr>
      <vt:lpstr>_2128k</vt:lpstr>
      <vt:lpstr>_2128l</vt:lpstr>
      <vt:lpstr>_2128m</vt:lpstr>
      <vt:lpstr>_2129</vt:lpstr>
      <vt:lpstr>_2129b</vt:lpstr>
      <vt:lpstr>_2129c</vt:lpstr>
      <vt:lpstr>_2129f</vt:lpstr>
      <vt:lpstr>_2129g</vt:lpstr>
      <vt:lpstr>_2129h</vt:lpstr>
      <vt:lpstr>_2129i</vt:lpstr>
      <vt:lpstr>_2129j</vt:lpstr>
      <vt:lpstr>_2129k</vt:lpstr>
      <vt:lpstr>_2129l</vt:lpstr>
      <vt:lpstr>_2129m</vt:lpstr>
      <vt:lpstr>_2156</vt:lpstr>
      <vt:lpstr>_2156b</vt:lpstr>
      <vt:lpstr>_2156c</vt:lpstr>
      <vt:lpstr>_2161</vt:lpstr>
      <vt:lpstr>_2161b</vt:lpstr>
      <vt:lpstr>_2161c</vt:lpstr>
      <vt:lpstr>_2161f</vt:lpstr>
      <vt:lpstr>_2161g</vt:lpstr>
      <vt:lpstr>_2161h</vt:lpstr>
      <vt:lpstr>_2161i</vt:lpstr>
      <vt:lpstr>_2161j</vt:lpstr>
      <vt:lpstr>_2161k</vt:lpstr>
      <vt:lpstr>_2161l</vt:lpstr>
      <vt:lpstr>_2161m</vt:lpstr>
      <vt:lpstr>_2185</vt:lpstr>
      <vt:lpstr>_2185b</vt:lpstr>
      <vt:lpstr>_2185c</vt:lpstr>
      <vt:lpstr>_2185f</vt:lpstr>
      <vt:lpstr>_2185g</vt:lpstr>
      <vt:lpstr>_2185h</vt:lpstr>
      <vt:lpstr>_2185i</vt:lpstr>
      <vt:lpstr>_2185j</vt:lpstr>
      <vt:lpstr>_2185k</vt:lpstr>
      <vt:lpstr>_2185l</vt:lpstr>
      <vt:lpstr>_2185m</vt:lpstr>
      <vt:lpstr>_2189</vt:lpstr>
      <vt:lpstr>_2189b</vt:lpstr>
      <vt:lpstr>_2189c</vt:lpstr>
      <vt:lpstr>_2189f</vt:lpstr>
      <vt:lpstr>_2189g</vt:lpstr>
      <vt:lpstr>_2189h</vt:lpstr>
      <vt:lpstr>_2189i</vt:lpstr>
      <vt:lpstr>_2189j</vt:lpstr>
      <vt:lpstr>_2189k</vt:lpstr>
      <vt:lpstr>_2189l</vt:lpstr>
      <vt:lpstr>_2189m</vt:lpstr>
      <vt:lpstr>_2190</vt:lpstr>
      <vt:lpstr>_2190b</vt:lpstr>
      <vt:lpstr>_2190c</vt:lpstr>
      <vt:lpstr>_2190f</vt:lpstr>
      <vt:lpstr>_2190g</vt:lpstr>
      <vt:lpstr>_2190h</vt:lpstr>
      <vt:lpstr>_2190i</vt:lpstr>
      <vt:lpstr>_2190j</vt:lpstr>
      <vt:lpstr>_2190k</vt:lpstr>
      <vt:lpstr>_2190l</vt:lpstr>
      <vt:lpstr>_2190m</vt:lpstr>
      <vt:lpstr>_2193</vt:lpstr>
      <vt:lpstr>_2193b</vt:lpstr>
      <vt:lpstr>_2193c</vt:lpstr>
      <vt:lpstr>_2200</vt:lpstr>
      <vt:lpstr>_2200b</vt:lpstr>
      <vt:lpstr>_2200c</vt:lpstr>
      <vt:lpstr>_2200f</vt:lpstr>
      <vt:lpstr>_2200g</vt:lpstr>
      <vt:lpstr>_2200h</vt:lpstr>
      <vt:lpstr>_2200i</vt:lpstr>
      <vt:lpstr>_2200j</vt:lpstr>
      <vt:lpstr>_2200k</vt:lpstr>
      <vt:lpstr>_2200l</vt:lpstr>
      <vt:lpstr>_2200m</vt:lpstr>
      <vt:lpstr>_2204</vt:lpstr>
      <vt:lpstr>_2204b</vt:lpstr>
      <vt:lpstr>_2204c</vt:lpstr>
      <vt:lpstr>_2204f</vt:lpstr>
      <vt:lpstr>_2204g</vt:lpstr>
      <vt:lpstr>_2204h</vt:lpstr>
      <vt:lpstr>_2204i</vt:lpstr>
      <vt:lpstr>_2204j</vt:lpstr>
      <vt:lpstr>_2204k</vt:lpstr>
      <vt:lpstr>_2204l</vt:lpstr>
      <vt:lpstr>_2204m</vt:lpstr>
      <vt:lpstr>_2205</vt:lpstr>
      <vt:lpstr>_2205b</vt:lpstr>
      <vt:lpstr>_2205c</vt:lpstr>
      <vt:lpstr>_2205f</vt:lpstr>
      <vt:lpstr>_2205g</vt:lpstr>
      <vt:lpstr>_2205h</vt:lpstr>
      <vt:lpstr>_2205i</vt:lpstr>
      <vt:lpstr>_2205j</vt:lpstr>
      <vt:lpstr>_2205k</vt:lpstr>
      <vt:lpstr>_2205l</vt:lpstr>
      <vt:lpstr>_2205m</vt:lpstr>
      <vt:lpstr>_2206</vt:lpstr>
      <vt:lpstr>_2206b</vt:lpstr>
      <vt:lpstr>_2206c</vt:lpstr>
      <vt:lpstr>_2206f</vt:lpstr>
      <vt:lpstr>_2206g</vt:lpstr>
      <vt:lpstr>_2206h</vt:lpstr>
      <vt:lpstr>_2206i</vt:lpstr>
      <vt:lpstr>_2206j</vt:lpstr>
      <vt:lpstr>_2206k</vt:lpstr>
      <vt:lpstr>_2206l</vt:lpstr>
      <vt:lpstr>_2206m</vt:lpstr>
      <vt:lpstr>_2207</vt:lpstr>
      <vt:lpstr>_2207b</vt:lpstr>
      <vt:lpstr>_2207c</vt:lpstr>
      <vt:lpstr>_2207f</vt:lpstr>
      <vt:lpstr>_2207g</vt:lpstr>
      <vt:lpstr>_2207h</vt:lpstr>
      <vt:lpstr>_2207i</vt:lpstr>
      <vt:lpstr>_2207j</vt:lpstr>
      <vt:lpstr>_2207k</vt:lpstr>
      <vt:lpstr>_2207l</vt:lpstr>
      <vt:lpstr>_2207m</vt:lpstr>
      <vt:lpstr>_2209</vt:lpstr>
      <vt:lpstr>_2209b</vt:lpstr>
      <vt:lpstr>_2209c</vt:lpstr>
      <vt:lpstr>_2209f</vt:lpstr>
      <vt:lpstr>_2209g</vt:lpstr>
      <vt:lpstr>_2209h</vt:lpstr>
      <vt:lpstr>_2209i</vt:lpstr>
      <vt:lpstr>_2209j</vt:lpstr>
      <vt:lpstr>_2209k</vt:lpstr>
      <vt:lpstr>_2209l</vt:lpstr>
      <vt:lpstr>_2209m</vt:lpstr>
      <vt:lpstr>_2212</vt:lpstr>
      <vt:lpstr>_2212b</vt:lpstr>
      <vt:lpstr>_2212c</vt:lpstr>
      <vt:lpstr>_2212f</vt:lpstr>
      <vt:lpstr>_2212g</vt:lpstr>
      <vt:lpstr>_2212h</vt:lpstr>
      <vt:lpstr>_2212i</vt:lpstr>
      <vt:lpstr>_2212j</vt:lpstr>
      <vt:lpstr>_2212k</vt:lpstr>
      <vt:lpstr>_2212l</vt:lpstr>
      <vt:lpstr>_2212m</vt:lpstr>
      <vt:lpstr>_2213</vt:lpstr>
      <vt:lpstr>_2213b</vt:lpstr>
      <vt:lpstr>_2213c</vt:lpstr>
      <vt:lpstr>_2213f</vt:lpstr>
      <vt:lpstr>_2213g</vt:lpstr>
      <vt:lpstr>_2213h</vt:lpstr>
      <vt:lpstr>_2213i</vt:lpstr>
      <vt:lpstr>_2213j</vt:lpstr>
      <vt:lpstr>_2213k</vt:lpstr>
      <vt:lpstr>_2213l</vt:lpstr>
      <vt:lpstr>_2213m</vt:lpstr>
      <vt:lpstr>_2217</vt:lpstr>
      <vt:lpstr>_2217b</vt:lpstr>
      <vt:lpstr>_2217c</vt:lpstr>
      <vt:lpstr>_2217f</vt:lpstr>
      <vt:lpstr>_2217g</vt:lpstr>
      <vt:lpstr>_2217h</vt:lpstr>
      <vt:lpstr>_2217i</vt:lpstr>
      <vt:lpstr>_2217j</vt:lpstr>
      <vt:lpstr>_2217k</vt:lpstr>
      <vt:lpstr>_2217l</vt:lpstr>
      <vt:lpstr>_2217m</vt:lpstr>
      <vt:lpstr>_2234</vt:lpstr>
      <vt:lpstr>_2234b</vt:lpstr>
      <vt:lpstr>_2234c</vt:lpstr>
      <vt:lpstr>_2234f</vt:lpstr>
      <vt:lpstr>_2234g</vt:lpstr>
      <vt:lpstr>_2234h</vt:lpstr>
      <vt:lpstr>_2234i</vt:lpstr>
      <vt:lpstr>_2234j</vt:lpstr>
      <vt:lpstr>_2234k</vt:lpstr>
      <vt:lpstr>_2234l</vt:lpstr>
      <vt:lpstr>_2234M</vt:lpstr>
      <vt:lpstr>_2242</vt:lpstr>
      <vt:lpstr>_2242b</vt:lpstr>
      <vt:lpstr>_2242c</vt:lpstr>
      <vt:lpstr>_2242d</vt:lpstr>
      <vt:lpstr>_2242f</vt:lpstr>
      <vt:lpstr>_2242g</vt:lpstr>
      <vt:lpstr>_2242h</vt:lpstr>
      <vt:lpstr>_2242i</vt:lpstr>
      <vt:lpstr>_2242j</vt:lpstr>
      <vt:lpstr>_2242k</vt:lpstr>
      <vt:lpstr>_2242l</vt:lpstr>
      <vt:lpstr>_2242m</vt:lpstr>
      <vt:lpstr>_2280</vt:lpstr>
      <vt:lpstr>_2280b</vt:lpstr>
      <vt:lpstr>_2280c</vt:lpstr>
      <vt:lpstr>_2280f</vt:lpstr>
      <vt:lpstr>_2280g</vt:lpstr>
      <vt:lpstr>_2280h</vt:lpstr>
      <vt:lpstr>_2280i</vt:lpstr>
      <vt:lpstr>_2280j</vt:lpstr>
      <vt:lpstr>_2280k</vt:lpstr>
      <vt:lpstr>_2280l</vt:lpstr>
      <vt:lpstr>_2280m</vt:lpstr>
      <vt:lpstr>_2281</vt:lpstr>
      <vt:lpstr>_2281b</vt:lpstr>
      <vt:lpstr>_2281c</vt:lpstr>
      <vt:lpstr>_2281f</vt:lpstr>
      <vt:lpstr>_2281g</vt:lpstr>
      <vt:lpstr>_2281h</vt:lpstr>
      <vt:lpstr>_2281i</vt:lpstr>
      <vt:lpstr>_2281j</vt:lpstr>
      <vt:lpstr>_2281k</vt:lpstr>
      <vt:lpstr>_2281l</vt:lpstr>
      <vt:lpstr>_2281m</vt:lpstr>
      <vt:lpstr>_2282</vt:lpstr>
      <vt:lpstr>_2282b</vt:lpstr>
      <vt:lpstr>_2282c</vt:lpstr>
      <vt:lpstr>_2282f</vt:lpstr>
      <vt:lpstr>_2282g</vt:lpstr>
      <vt:lpstr>_2282h</vt:lpstr>
      <vt:lpstr>_2282i</vt:lpstr>
      <vt:lpstr>_2282j</vt:lpstr>
      <vt:lpstr>_2282k</vt:lpstr>
      <vt:lpstr>_2282l</vt:lpstr>
      <vt:lpstr>_2282m</vt:lpstr>
      <vt:lpstr>_2290</vt:lpstr>
      <vt:lpstr>_2290b</vt:lpstr>
      <vt:lpstr>_2290c</vt:lpstr>
      <vt:lpstr>_2290f</vt:lpstr>
      <vt:lpstr>_2290g</vt:lpstr>
      <vt:lpstr>_2290h</vt:lpstr>
      <vt:lpstr>_2290i</vt:lpstr>
      <vt:lpstr>_2290j</vt:lpstr>
      <vt:lpstr>_2290k</vt:lpstr>
      <vt:lpstr>_2290l</vt:lpstr>
      <vt:lpstr>_2290m</vt:lpstr>
      <vt:lpstr>_2290n</vt:lpstr>
      <vt:lpstr>_2290o</vt:lpstr>
      <vt:lpstr>_2291</vt:lpstr>
      <vt:lpstr>_2291b</vt:lpstr>
      <vt:lpstr>_2291c</vt:lpstr>
      <vt:lpstr>_2291f</vt:lpstr>
      <vt:lpstr>_2291g</vt:lpstr>
      <vt:lpstr>_2291h</vt:lpstr>
      <vt:lpstr>_2291i</vt:lpstr>
      <vt:lpstr>_2291j</vt:lpstr>
      <vt:lpstr>_2291k</vt:lpstr>
      <vt:lpstr>_2291l</vt:lpstr>
      <vt:lpstr>_2291m</vt:lpstr>
      <vt:lpstr>_2291n</vt:lpstr>
      <vt:lpstr>_2291o</vt:lpstr>
      <vt:lpstr>_2293</vt:lpstr>
      <vt:lpstr>_2293b</vt:lpstr>
      <vt:lpstr>_2293c</vt:lpstr>
      <vt:lpstr>_2293f</vt:lpstr>
      <vt:lpstr>_2293g</vt:lpstr>
      <vt:lpstr>_2293h</vt:lpstr>
      <vt:lpstr>_2293i</vt:lpstr>
      <vt:lpstr>_2293j</vt:lpstr>
      <vt:lpstr>_2293k</vt:lpstr>
      <vt:lpstr>_2293l</vt:lpstr>
      <vt:lpstr>_2293m</vt:lpstr>
      <vt:lpstr>_2294</vt:lpstr>
      <vt:lpstr>_2294b</vt:lpstr>
      <vt:lpstr>_2294c</vt:lpstr>
      <vt:lpstr>_2294f</vt:lpstr>
      <vt:lpstr>_2294g</vt:lpstr>
      <vt:lpstr>_2294h</vt:lpstr>
      <vt:lpstr>_2294i</vt:lpstr>
      <vt:lpstr>_2294j</vt:lpstr>
      <vt:lpstr>_2294k</vt:lpstr>
      <vt:lpstr>_2294l</vt:lpstr>
      <vt:lpstr>_2294m</vt:lpstr>
      <vt:lpstr>_2295</vt:lpstr>
      <vt:lpstr>_2295b</vt:lpstr>
      <vt:lpstr>_2295c</vt:lpstr>
      <vt:lpstr>_2295f</vt:lpstr>
      <vt:lpstr>_2295g</vt:lpstr>
      <vt:lpstr>_2295h</vt:lpstr>
      <vt:lpstr>_2295i</vt:lpstr>
      <vt:lpstr>_2295j</vt:lpstr>
      <vt:lpstr>_2295k</vt:lpstr>
      <vt:lpstr>_2295l</vt:lpstr>
      <vt:lpstr>_2295m</vt:lpstr>
      <vt:lpstr>_2300</vt:lpstr>
      <vt:lpstr>_2300b</vt:lpstr>
      <vt:lpstr>_2300c</vt:lpstr>
      <vt:lpstr>_2300f</vt:lpstr>
      <vt:lpstr>_2300g</vt:lpstr>
      <vt:lpstr>_2300h</vt:lpstr>
      <vt:lpstr>_2300i</vt:lpstr>
      <vt:lpstr>_2300j</vt:lpstr>
      <vt:lpstr>_2300k</vt:lpstr>
      <vt:lpstr>_2300l</vt:lpstr>
      <vt:lpstr>_2300m</vt:lpstr>
      <vt:lpstr>_2300n</vt:lpstr>
      <vt:lpstr>_2300o</vt:lpstr>
      <vt:lpstr>_2311</vt:lpstr>
      <vt:lpstr>_2311b</vt:lpstr>
      <vt:lpstr>_2311c</vt:lpstr>
      <vt:lpstr>_2311f</vt:lpstr>
      <vt:lpstr>_2311g</vt:lpstr>
      <vt:lpstr>_2311h</vt:lpstr>
      <vt:lpstr>_2311i</vt:lpstr>
      <vt:lpstr>_2311j</vt:lpstr>
      <vt:lpstr>_2311k</vt:lpstr>
      <vt:lpstr>_2311l</vt:lpstr>
      <vt:lpstr>_2311m</vt:lpstr>
      <vt:lpstr>_2311n</vt:lpstr>
      <vt:lpstr>_2311o</vt:lpstr>
      <vt:lpstr>_b1753</vt:lpstr>
      <vt:lpstr>_b1753b</vt:lpstr>
      <vt:lpstr>_b1753c</vt:lpstr>
      <vt:lpstr>_b1753f</vt:lpstr>
      <vt:lpstr>_b1753g</vt:lpstr>
      <vt:lpstr>_b1753h</vt:lpstr>
      <vt:lpstr>_b1753i</vt:lpstr>
      <vt:lpstr>_b1753j</vt:lpstr>
      <vt:lpstr>_b1753k</vt:lpstr>
      <vt:lpstr>_b1753l</vt:lpstr>
      <vt:lpstr>_b1753m</vt:lpstr>
      <vt:lpstr>_b1753t</vt:lpstr>
      <vt:lpstr>_b1754</vt:lpstr>
      <vt:lpstr>_b1754b</vt:lpstr>
      <vt:lpstr>_b1754c</vt:lpstr>
      <vt:lpstr>_b1754f</vt:lpstr>
      <vt:lpstr>_b1754g</vt:lpstr>
      <vt:lpstr>_b1754h</vt:lpstr>
      <vt:lpstr>_b1754i</vt:lpstr>
      <vt:lpstr>_b1754j</vt:lpstr>
      <vt:lpstr>_b1754k</vt:lpstr>
      <vt:lpstr>_b1754l</vt:lpstr>
      <vt:lpstr>_b1754m</vt:lpstr>
      <vt:lpstr>_b1754t</vt:lpstr>
      <vt:lpstr>_b1755</vt:lpstr>
      <vt:lpstr>_b1755b</vt:lpstr>
      <vt:lpstr>_b1755c</vt:lpstr>
      <vt:lpstr>_b1755f</vt:lpstr>
      <vt:lpstr>_b1755g</vt:lpstr>
      <vt:lpstr>_b1755h</vt:lpstr>
      <vt:lpstr>_b1755i</vt:lpstr>
      <vt:lpstr>_b1755j</vt:lpstr>
      <vt:lpstr>_b1755k</vt:lpstr>
      <vt:lpstr>_b1755l</vt:lpstr>
      <vt:lpstr>_b1755m</vt:lpstr>
      <vt:lpstr>_b1755t</vt:lpstr>
      <vt:lpstr>_b1758</vt:lpstr>
      <vt:lpstr>_b1758b</vt:lpstr>
      <vt:lpstr>_b1758c</vt:lpstr>
      <vt:lpstr>_b1758f</vt:lpstr>
      <vt:lpstr>_b1758g</vt:lpstr>
      <vt:lpstr>_b1758h</vt:lpstr>
      <vt:lpstr>_b1758i</vt:lpstr>
      <vt:lpstr>_b1758j</vt:lpstr>
      <vt:lpstr>_b1758k</vt:lpstr>
      <vt:lpstr>_b1758l</vt:lpstr>
      <vt:lpstr>_b1758m</vt:lpstr>
      <vt:lpstr>_b1758t</vt:lpstr>
      <vt:lpstr>_b1779</vt:lpstr>
      <vt:lpstr>_b1779b</vt:lpstr>
      <vt:lpstr>_b1779c</vt:lpstr>
      <vt:lpstr>_b1779f</vt:lpstr>
      <vt:lpstr>_b1779g</vt:lpstr>
      <vt:lpstr>_b1779h</vt:lpstr>
      <vt:lpstr>_b1779i</vt:lpstr>
      <vt:lpstr>_b1779j</vt:lpstr>
      <vt:lpstr>_b1779k</vt:lpstr>
      <vt:lpstr>_b1779l</vt:lpstr>
      <vt:lpstr>_b1779m</vt:lpstr>
      <vt:lpstr>_b1780</vt:lpstr>
      <vt:lpstr>_b1780b</vt:lpstr>
      <vt:lpstr>_b1780c</vt:lpstr>
      <vt:lpstr>_b1780f</vt:lpstr>
      <vt:lpstr>_b1780g</vt:lpstr>
      <vt:lpstr>_b1780h</vt:lpstr>
      <vt:lpstr>_b1780i</vt:lpstr>
      <vt:lpstr>_b1780j</vt:lpstr>
      <vt:lpstr>_b1780k</vt:lpstr>
      <vt:lpstr>_b1780l</vt:lpstr>
      <vt:lpstr>_b1780m</vt:lpstr>
      <vt:lpstr>_b1787</vt:lpstr>
      <vt:lpstr>_b1787b</vt:lpstr>
      <vt:lpstr>_b1787c</vt:lpstr>
      <vt:lpstr>_b1787f</vt:lpstr>
      <vt:lpstr>_b1787g</vt:lpstr>
      <vt:lpstr>_b1787h</vt:lpstr>
      <vt:lpstr>_b1787i</vt:lpstr>
      <vt:lpstr>_b1787j</vt:lpstr>
      <vt:lpstr>_b1787k</vt:lpstr>
      <vt:lpstr>_b1787l</vt:lpstr>
      <vt:lpstr>_b1787m</vt:lpstr>
      <vt:lpstr>_b1787t</vt:lpstr>
      <vt:lpstr>_b1788</vt:lpstr>
      <vt:lpstr>_b1788b</vt:lpstr>
      <vt:lpstr>_b1788c</vt:lpstr>
      <vt:lpstr>_b1788f</vt:lpstr>
      <vt:lpstr>_b1788g</vt:lpstr>
      <vt:lpstr>_b1788h</vt:lpstr>
      <vt:lpstr>_b1788i</vt:lpstr>
      <vt:lpstr>_b1788j</vt:lpstr>
      <vt:lpstr>_b1788k</vt:lpstr>
      <vt:lpstr>_b1788l</vt:lpstr>
      <vt:lpstr>_b1788m</vt:lpstr>
      <vt:lpstr>_b1788t</vt:lpstr>
      <vt:lpstr>_b1789</vt:lpstr>
      <vt:lpstr>_b1789b</vt:lpstr>
      <vt:lpstr>_b1789c</vt:lpstr>
      <vt:lpstr>_b1789f</vt:lpstr>
      <vt:lpstr>_b1789g</vt:lpstr>
      <vt:lpstr>_b1789h</vt:lpstr>
      <vt:lpstr>_b1789i</vt:lpstr>
      <vt:lpstr>_b1789j</vt:lpstr>
      <vt:lpstr>_b1789k</vt:lpstr>
      <vt:lpstr>_b1789l</vt:lpstr>
      <vt:lpstr>_b1789m</vt:lpstr>
      <vt:lpstr>_b1789t</vt:lpstr>
      <vt:lpstr>_b1892</vt:lpstr>
      <vt:lpstr>_b1892b</vt:lpstr>
      <vt:lpstr>_b1892c</vt:lpstr>
      <vt:lpstr>_b1892f</vt:lpstr>
      <vt:lpstr>_b1892g</vt:lpstr>
      <vt:lpstr>_b1892h</vt:lpstr>
      <vt:lpstr>_b1892i</vt:lpstr>
      <vt:lpstr>_b1892j</vt:lpstr>
      <vt:lpstr>_b1892k</vt:lpstr>
      <vt:lpstr>_b1892l</vt:lpstr>
      <vt:lpstr>_b1892m</vt:lpstr>
      <vt:lpstr>_b1892t</vt:lpstr>
      <vt:lpstr>_b1893</vt:lpstr>
      <vt:lpstr>_b1893b</vt:lpstr>
      <vt:lpstr>_b1893c</vt:lpstr>
      <vt:lpstr>_b1893f</vt:lpstr>
      <vt:lpstr>_b1893g</vt:lpstr>
      <vt:lpstr>_b1893h</vt:lpstr>
      <vt:lpstr>_b1893i</vt:lpstr>
      <vt:lpstr>_b1893j</vt:lpstr>
      <vt:lpstr>_b1893k</vt:lpstr>
      <vt:lpstr>_b1893l</vt:lpstr>
      <vt:lpstr>_b1893m</vt:lpstr>
      <vt:lpstr>_b1893t</vt:lpstr>
      <vt:lpstr>_b1998</vt:lpstr>
      <vt:lpstr>_b1998b</vt:lpstr>
      <vt:lpstr>_b1998c</vt:lpstr>
      <vt:lpstr>_b1998f</vt:lpstr>
      <vt:lpstr>_b1998g</vt:lpstr>
      <vt:lpstr>_b1998h</vt:lpstr>
      <vt:lpstr>_b1998i</vt:lpstr>
      <vt:lpstr>_b1998j</vt:lpstr>
      <vt:lpstr>_b1998k</vt:lpstr>
      <vt:lpstr>_b1998l</vt:lpstr>
      <vt:lpstr>_b1998m</vt:lpstr>
      <vt:lpstr>_b1998t</vt:lpstr>
      <vt:lpstr>_b2000</vt:lpstr>
      <vt:lpstr>_b2000b</vt:lpstr>
      <vt:lpstr>_b2000c</vt:lpstr>
      <vt:lpstr>_b2000f</vt:lpstr>
      <vt:lpstr>_b2000g</vt:lpstr>
      <vt:lpstr>_b2000h</vt:lpstr>
      <vt:lpstr>_b2000i</vt:lpstr>
      <vt:lpstr>_b2000j</vt:lpstr>
      <vt:lpstr>_b2000k</vt:lpstr>
      <vt:lpstr>_b2000l</vt:lpstr>
      <vt:lpstr>_b2000m</vt:lpstr>
      <vt:lpstr>_b2000n</vt:lpstr>
      <vt:lpstr>_b2000o</vt:lpstr>
      <vt:lpstr>_b2000t</vt:lpstr>
      <vt:lpstr>_b2018</vt:lpstr>
      <vt:lpstr>_b2018b</vt:lpstr>
      <vt:lpstr>_b2018c</vt:lpstr>
      <vt:lpstr>_b2018f</vt:lpstr>
      <vt:lpstr>_b2018g</vt:lpstr>
      <vt:lpstr>_b2018h</vt:lpstr>
      <vt:lpstr>_b2018i</vt:lpstr>
      <vt:lpstr>_b2018j</vt:lpstr>
      <vt:lpstr>_b2018k</vt:lpstr>
      <vt:lpstr>_b2018l</vt:lpstr>
      <vt:lpstr>_b2018m</vt:lpstr>
      <vt:lpstr>_b2019</vt:lpstr>
      <vt:lpstr>_b2019b</vt:lpstr>
      <vt:lpstr>_b2019c</vt:lpstr>
      <vt:lpstr>_b2019f</vt:lpstr>
      <vt:lpstr>_b2019g</vt:lpstr>
      <vt:lpstr>_b2019h</vt:lpstr>
      <vt:lpstr>_b2019i</vt:lpstr>
      <vt:lpstr>_b2019j</vt:lpstr>
      <vt:lpstr>_b2019k</vt:lpstr>
      <vt:lpstr>_b2019l</vt:lpstr>
      <vt:lpstr>_b2019m</vt:lpstr>
      <vt:lpstr>_b2020</vt:lpstr>
      <vt:lpstr>_b2020b</vt:lpstr>
      <vt:lpstr>_b2020c</vt:lpstr>
      <vt:lpstr>_b2020f</vt:lpstr>
      <vt:lpstr>_b2020g</vt:lpstr>
      <vt:lpstr>_b2020h</vt:lpstr>
      <vt:lpstr>_b2020i</vt:lpstr>
      <vt:lpstr>_b2020j</vt:lpstr>
      <vt:lpstr>_b2020k</vt:lpstr>
      <vt:lpstr>_b2020l</vt:lpstr>
      <vt:lpstr>_b2020m</vt:lpstr>
      <vt:lpstr>_b2020n</vt:lpstr>
      <vt:lpstr>_b2020o</vt:lpstr>
      <vt:lpstr>_c1892</vt:lpstr>
      <vt:lpstr>_c1892b</vt:lpstr>
      <vt:lpstr>_c1892c</vt:lpstr>
      <vt:lpstr>_c1892f</vt:lpstr>
      <vt:lpstr>_c1892g</vt:lpstr>
      <vt:lpstr>_c1892h</vt:lpstr>
      <vt:lpstr>_c1892i</vt:lpstr>
      <vt:lpstr>_c1892j</vt:lpstr>
      <vt:lpstr>_c1892k</vt:lpstr>
      <vt:lpstr>_c1892l</vt:lpstr>
      <vt:lpstr>_c1892m</vt:lpstr>
      <vt:lpstr>_c1892t</vt:lpstr>
      <vt:lpstr>_d1892</vt:lpstr>
      <vt:lpstr>_d1892b</vt:lpstr>
      <vt:lpstr>_d1892c</vt:lpstr>
      <vt:lpstr>_d1892f</vt:lpstr>
      <vt:lpstr>_d1892g</vt:lpstr>
      <vt:lpstr>_d1892h</vt:lpstr>
      <vt:lpstr>_d1892i</vt:lpstr>
      <vt:lpstr>_d1892j</vt:lpstr>
      <vt:lpstr>_d1892k</vt:lpstr>
      <vt:lpstr>_d1892l</vt:lpstr>
      <vt:lpstr>_d1892m</vt:lpstr>
      <vt:lpstr>i</vt:lpstr>
      <vt:lpstr>vj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Harald</dc:creator>
  <cp:lastModifiedBy>Kramer, Harald</cp:lastModifiedBy>
  <dcterms:created xsi:type="dcterms:W3CDTF">2023-05-26T06:29:39Z</dcterms:created>
  <dcterms:modified xsi:type="dcterms:W3CDTF">2023-06-01T14:42:32Z</dcterms:modified>
</cp:coreProperties>
</file>