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en\Internet\Düsenrechner\"/>
    </mc:Choice>
  </mc:AlternateContent>
  <bookViews>
    <workbookView showSheetTabs="0" xWindow="0" yWindow="0" windowWidth="28800" windowHeight="11700" firstSheet="44"/>
  </bookViews>
  <sheets>
    <sheet name="Tabelle1" sheetId="1" r:id="rId1"/>
    <sheet name="Abdrift" sheetId="20" state="hidden" r:id="rId2"/>
    <sheet name="kf01 25" sheetId="16" r:id="rId3"/>
    <sheet name="kdf01 25" sheetId="26" r:id="rId4"/>
    <sheet name="kf01 Band" sheetId="21" r:id="rId5"/>
    <sheet name="kf015 25" sheetId="14" r:id="rId6"/>
    <sheet name="kdf015 25" sheetId="27" r:id="rId7"/>
    <sheet name="kf015 Band" sheetId="22" r:id="rId8"/>
    <sheet name="kf02 25" sheetId="13" r:id="rId9"/>
    <sheet name="kdf02 25" sheetId="28" r:id="rId10"/>
    <sheet name="kdf02 50" sheetId="29" r:id="rId11"/>
    <sheet name="lf02 50" sheetId="37" r:id="rId12"/>
    <sheet name="ldf02 50" sheetId="36" r:id="rId13"/>
    <sheet name="kf02 Band" sheetId="23" r:id="rId14"/>
    <sheet name="kf025" sheetId="15" r:id="rId15"/>
    <sheet name="kf025 25" sheetId="50" r:id="rId16"/>
    <sheet name="lf025" sheetId="38" r:id="rId17"/>
    <sheet name="kdf025" sheetId="30" r:id="rId18"/>
    <sheet name="ldf025" sheetId="39" r:id="rId19"/>
    <sheet name="Rand025" sheetId="59" r:id="rId20"/>
    <sheet name="Misch025" sheetId="69" r:id="rId21"/>
    <sheet name="kf03" sheetId="2" r:id="rId22"/>
    <sheet name="kf03 25" sheetId="49" r:id="rId23"/>
    <sheet name="lf03" sheetId="40" r:id="rId24"/>
    <sheet name="kdf03" sheetId="31" r:id="rId25"/>
    <sheet name="ldf03" sheetId="41" r:id="rId26"/>
    <sheet name="kf03 Band" sheetId="24" r:id="rId27"/>
    <sheet name="Rand03" sheetId="60" r:id="rId28"/>
    <sheet name="Misch03" sheetId="70" r:id="rId29"/>
    <sheet name="kf04" sheetId="17" r:id="rId30"/>
    <sheet name="kf04 25" sheetId="48" r:id="rId31"/>
    <sheet name="lf04" sheetId="42" r:id="rId32"/>
    <sheet name="kdf04" sheetId="32" r:id="rId33"/>
    <sheet name="ldf04" sheetId="43" r:id="rId34"/>
    <sheet name="kf04 Band" sheetId="25" r:id="rId35"/>
    <sheet name="f04" sheetId="56" r:id="rId36"/>
    <sheet name="df04" sheetId="65" r:id="rId37"/>
    <sheet name="Rand04" sheetId="61" r:id="rId38"/>
    <sheet name="Misch04" sheetId="71" r:id="rId39"/>
    <sheet name="kf05" sheetId="18" r:id="rId40"/>
    <sheet name="lf05" sheetId="44" r:id="rId41"/>
    <sheet name="kdf05" sheetId="33" r:id="rId42"/>
    <sheet name="ldf05" sheetId="45" r:id="rId43"/>
    <sheet name="VA05" sheetId="54" r:id="rId44"/>
    <sheet name="f05" sheetId="57" r:id="rId45"/>
    <sheet name="df05" sheetId="66" r:id="rId46"/>
    <sheet name="Rand05" sheetId="62" r:id="rId47"/>
    <sheet name="Misch05" sheetId="73" r:id="rId48"/>
    <sheet name="kf06" sheetId="19" r:id="rId49"/>
    <sheet name="lf06" sheetId="46" r:id="rId50"/>
    <sheet name="kdf06" sheetId="34" r:id="rId51"/>
    <sheet name="ldf06" sheetId="47" r:id="rId52"/>
    <sheet name="f06" sheetId="58" r:id="rId53"/>
    <sheet name="df06" sheetId="67" r:id="rId54"/>
    <sheet name="Rand06" sheetId="63" r:id="rId55"/>
    <sheet name="Misch06" sheetId="75" r:id="rId56"/>
    <sheet name="Dünger" sheetId="52" r:id="rId57"/>
    <sheet name="Zweistoff" sheetId="74" r:id="rId58"/>
    <sheet name="PWM Allgemein" sheetId="79" r:id="rId59"/>
    <sheet name="DynaJet" sheetId="77" r:id="rId60"/>
    <sheet name="Exact Apply" sheetId="78" r:id="rId61"/>
  </sheets>
  <externalReferences>
    <externalReference r:id="rId62"/>
  </externalReferences>
  <definedNames>
    <definedName name="_1435">Abdrift!$A$26</definedName>
    <definedName name="_1435b">Abdrift!$B$26</definedName>
    <definedName name="_1435c">Abdrift!$C$26</definedName>
    <definedName name="_1435f">Abdrift!$F$26</definedName>
    <definedName name="_1435g">Abdrift!$G$26</definedName>
    <definedName name="_1435h">Abdrift!$H$26</definedName>
    <definedName name="_1435i">Abdrift!$I$26</definedName>
    <definedName name="_1435j">Abdrift!$J$26</definedName>
    <definedName name="_1435k">Abdrift!$K$26</definedName>
    <definedName name="_1435l">Abdrift!$L$26</definedName>
    <definedName name="_1435m">Abdrift!$M$26</definedName>
    <definedName name="_1436">Abdrift!$A$27</definedName>
    <definedName name="_1436b">Abdrift!$B$27</definedName>
    <definedName name="_1436c">Abdrift!$C$27</definedName>
    <definedName name="_1436f">Abdrift!$F$27</definedName>
    <definedName name="_1436g">Abdrift!$G$27</definedName>
    <definedName name="_1436h">Abdrift!$H$27</definedName>
    <definedName name="_1436i">Abdrift!$I$27</definedName>
    <definedName name="_1436j">Abdrift!$J$27</definedName>
    <definedName name="_1436k">Abdrift!$K$27</definedName>
    <definedName name="_1436l">Abdrift!$L$27</definedName>
    <definedName name="_1436m">Abdrift!$M$27</definedName>
    <definedName name="_1437">Abdrift!$A$28</definedName>
    <definedName name="_1437b">Abdrift!$B$28</definedName>
    <definedName name="_1437c">Abdrift!$C$28</definedName>
    <definedName name="_1437f">Abdrift!$F$28</definedName>
    <definedName name="_1437g">Abdrift!$G$28</definedName>
    <definedName name="_1437h">Abdrift!$H$28</definedName>
    <definedName name="_1437i">Abdrift!$I$28</definedName>
    <definedName name="_1437j">Abdrift!$J$28</definedName>
    <definedName name="_1437k">Abdrift!$K$28</definedName>
    <definedName name="_1437l">Abdrift!$L$28</definedName>
    <definedName name="_1437m">Abdrift!$M$28</definedName>
    <definedName name="_1438">Abdrift!$A$29</definedName>
    <definedName name="_1438b">Abdrift!$B$29</definedName>
    <definedName name="_1438c">Abdrift!$C$29</definedName>
    <definedName name="_1438f">Abdrift!$F$29</definedName>
    <definedName name="_1438g">Abdrift!$G$29</definedName>
    <definedName name="_1438h">Abdrift!$H$29</definedName>
    <definedName name="_1438i">Abdrift!$I$29</definedName>
    <definedName name="_1438j">Abdrift!$J$29</definedName>
    <definedName name="_1438k">Abdrift!$K$29</definedName>
    <definedName name="_1438l">Abdrift!$L$29</definedName>
    <definedName name="_1438m">Abdrift!$M$29</definedName>
    <definedName name="_1613">Abdrift!$A$2</definedName>
    <definedName name="_1613b">Abdrift!$B$2</definedName>
    <definedName name="_1613c">Abdrift!$C$2</definedName>
    <definedName name="_1613f">Abdrift!$F$2</definedName>
    <definedName name="_1613g">Abdrift!$G$2</definedName>
    <definedName name="_1613h">Abdrift!$H$2</definedName>
    <definedName name="_1613i">Abdrift!$I$2</definedName>
    <definedName name="_1613j">Abdrift!$J$2</definedName>
    <definedName name="_1613k">Abdrift!$K$2</definedName>
    <definedName name="_1613l">Abdrift!$L$2</definedName>
    <definedName name="_1613m">Abdrift!$M$2</definedName>
    <definedName name="_1613n">Abdrift!$N$2</definedName>
    <definedName name="_1613o">Abdrift!$O$2</definedName>
    <definedName name="_1638">Abdrift!$A$3</definedName>
    <definedName name="_1638b">Abdrift!$B$3</definedName>
    <definedName name="_1638c">Abdrift!$C$3</definedName>
    <definedName name="_1638f">Abdrift!$F$3</definedName>
    <definedName name="_1638g">Abdrift!$G$3</definedName>
    <definedName name="_1638h">Abdrift!$H$3</definedName>
    <definedName name="_1638i">Abdrift!$I$3</definedName>
    <definedName name="_1638j">Abdrift!$J$3</definedName>
    <definedName name="_1638k">Abdrift!$K$3</definedName>
    <definedName name="_1638l">Abdrift!$L$3</definedName>
    <definedName name="_1638m">Abdrift!$M$3</definedName>
    <definedName name="_1638n">Abdrift!$N$3</definedName>
    <definedName name="_1638o">Abdrift!$O$3</definedName>
    <definedName name="_1718">Abdrift!$A$44</definedName>
    <definedName name="_1718b">Abdrift!$B$44</definedName>
    <definedName name="_1718c">Abdrift!$C$44</definedName>
    <definedName name="_1718f">Abdrift!$F$44</definedName>
    <definedName name="_1718g">Abdrift!$G$44</definedName>
    <definedName name="_1718h">Abdrift!$H$44</definedName>
    <definedName name="_1718i">Abdrift!$I$44</definedName>
    <definedName name="_1718j">Abdrift!$J$44</definedName>
    <definedName name="_1718k">Abdrift!$K$44</definedName>
    <definedName name="_1718l">Abdrift!$L$44</definedName>
    <definedName name="_1718m">Abdrift!$M$44</definedName>
    <definedName name="_1737">Abdrift!$A$107</definedName>
    <definedName name="_1737b">Abdrift!$B$107</definedName>
    <definedName name="_1737c">Abdrift!$C$107</definedName>
    <definedName name="_1737f">Abdrift!$F$107</definedName>
    <definedName name="_1737g">Abdrift!$G$107</definedName>
    <definedName name="_1737h">Abdrift!$H$107</definedName>
    <definedName name="_1737i">Abdrift!$I$107</definedName>
    <definedName name="_1737j">Abdrift!$J$107</definedName>
    <definedName name="_1737k">Abdrift!$K$107</definedName>
    <definedName name="_1737l">Abdrift!$L$107</definedName>
    <definedName name="_1737m">Abdrift!$M$107</definedName>
    <definedName name="_1738">Abdrift!$A$108</definedName>
    <definedName name="_1738b">Abdrift!$B$108</definedName>
    <definedName name="_1738c">Abdrift!$C$108</definedName>
    <definedName name="_1738f">Abdrift!$F$108</definedName>
    <definedName name="_1738g">Abdrift!$G$108</definedName>
    <definedName name="_1738h">Abdrift!$H$108</definedName>
    <definedName name="_1738i">Abdrift!$I$108</definedName>
    <definedName name="_1738j">Abdrift!$J$108</definedName>
    <definedName name="_1738k">Abdrift!$K$108</definedName>
    <definedName name="_1738l">Abdrift!$L$108</definedName>
    <definedName name="_1738m">Abdrift!$M$108</definedName>
    <definedName name="_1739">Abdrift!$A$109</definedName>
    <definedName name="_1739b">Abdrift!$B$109</definedName>
    <definedName name="_1739c">Abdrift!$C$109</definedName>
    <definedName name="_1739f">Abdrift!$F$109</definedName>
    <definedName name="_1739g">Abdrift!$G$109</definedName>
    <definedName name="_1739h">Abdrift!$H$109</definedName>
    <definedName name="_1739i">Abdrift!$I$109</definedName>
    <definedName name="_1739j">Abdrift!$J$109</definedName>
    <definedName name="_1739k">Abdrift!$K$109</definedName>
    <definedName name="_1739l">Abdrift!$L$109</definedName>
    <definedName name="_1739m">Abdrift!$M$109</definedName>
    <definedName name="_1740">Abdrift!$A$110</definedName>
    <definedName name="_1740b">Abdrift!$B$110</definedName>
    <definedName name="_1740c">Abdrift!$C$110</definedName>
    <definedName name="_1740f">Abdrift!$F$110</definedName>
    <definedName name="_1740g">Abdrift!$G$110</definedName>
    <definedName name="_1740h">Abdrift!$H$110</definedName>
    <definedName name="_1740i">Abdrift!$I$110</definedName>
    <definedName name="_1740j">Abdrift!$J$110</definedName>
    <definedName name="_1740k">Abdrift!$K$110</definedName>
    <definedName name="_1740l">Abdrift!$L$110</definedName>
    <definedName name="_1740m">Abdrift!$M$110</definedName>
    <definedName name="_1753">Abdrift!$A$69</definedName>
    <definedName name="_1753b">Abdrift!$B$69</definedName>
    <definedName name="_1753c">Abdrift!$C$69</definedName>
    <definedName name="_1753f">Abdrift!$F$69</definedName>
    <definedName name="_1753g">Abdrift!$G$69</definedName>
    <definedName name="_1753h">Abdrift!$H$69</definedName>
    <definedName name="_1753i">Abdrift!$I$69</definedName>
    <definedName name="_1753j">Abdrift!$J$69</definedName>
    <definedName name="_1753k">Abdrift!$K$69</definedName>
    <definedName name="_1753l">Abdrift!$L$69</definedName>
    <definedName name="_1753m">Abdrift!$M$69</definedName>
    <definedName name="_1753t">Abdrift!$T$69</definedName>
    <definedName name="_1754">Abdrift!$A$71</definedName>
    <definedName name="_1754b">Abdrift!$B$71</definedName>
    <definedName name="_1754c">Abdrift!$C$71</definedName>
    <definedName name="_1754f">Abdrift!$F$71</definedName>
    <definedName name="_1754g">Abdrift!$G$71</definedName>
    <definedName name="_1754h">Abdrift!$H$71</definedName>
    <definedName name="_1754i">Abdrift!$I$71</definedName>
    <definedName name="_1754j">Abdrift!$J$71</definedName>
    <definedName name="_1754k">Abdrift!$K$71</definedName>
    <definedName name="_1754l">Abdrift!$L$71</definedName>
    <definedName name="_1754m">Abdrift!$M$71</definedName>
    <definedName name="_1754t">Abdrift!$T$71</definedName>
    <definedName name="_1755">Abdrift!$A$73</definedName>
    <definedName name="_1755b">Abdrift!$B$73</definedName>
    <definedName name="_1755c">Abdrift!$C$73</definedName>
    <definedName name="_1755f">Abdrift!$F$73</definedName>
    <definedName name="_1755g">Abdrift!$G$73</definedName>
    <definedName name="_1755h">Abdrift!$H$73</definedName>
    <definedName name="_1755i">Abdrift!$I$73</definedName>
    <definedName name="_1755j">Abdrift!$J$73</definedName>
    <definedName name="_1755k">Abdrift!$K$73</definedName>
    <definedName name="_1755l">Abdrift!$L$73</definedName>
    <definedName name="_1755m">Abdrift!$M$73</definedName>
    <definedName name="_1755t">Abdrift!$T$73</definedName>
    <definedName name="_1758">Abdrift!$A$14</definedName>
    <definedName name="_1758b">Abdrift!$B$14</definedName>
    <definedName name="_1758c">Abdrift!$C$14</definedName>
    <definedName name="_1758f">Abdrift!$F$14</definedName>
    <definedName name="_1758g">Abdrift!$G$14</definedName>
    <definedName name="_1758h">Abdrift!$H$14</definedName>
    <definedName name="_1758i">Abdrift!$I$14</definedName>
    <definedName name="_1758j">Abdrift!$J$14</definedName>
    <definedName name="_1758k">Abdrift!$K$14</definedName>
    <definedName name="_1758l">Abdrift!$L$14</definedName>
    <definedName name="_1758m">Abdrift!$M$14</definedName>
    <definedName name="_1758t">Abdrift!$T$14</definedName>
    <definedName name="_1779">Abdrift!$A$101</definedName>
    <definedName name="_1779b">Abdrift!$B$101</definedName>
    <definedName name="_1779c">Abdrift!$C$101</definedName>
    <definedName name="_1779f">Abdrift!$F$101</definedName>
    <definedName name="_1779g">Abdrift!$G$101</definedName>
    <definedName name="_1779h">Abdrift!$H$101</definedName>
    <definedName name="_1779i">Abdrift!$I$101</definedName>
    <definedName name="_1779j">Abdrift!$J$101</definedName>
    <definedName name="_1779k">Abdrift!$K$101</definedName>
    <definedName name="_1779l">Abdrift!$L$101</definedName>
    <definedName name="_1779m">Abdrift!$M$101</definedName>
    <definedName name="_1780">Abdrift!$A$102</definedName>
    <definedName name="_1780b">Abdrift!$B$102</definedName>
    <definedName name="_1780c">Abdrift!$C$102</definedName>
    <definedName name="_1780f">Abdrift!$F$102</definedName>
    <definedName name="_1780g">Abdrift!$G$102</definedName>
    <definedName name="_1780h">Abdrift!$H$102</definedName>
    <definedName name="_1780i">Abdrift!$I$102</definedName>
    <definedName name="_1780j">Abdrift!$J$102</definedName>
    <definedName name="_1780k">Abdrift!$K$102</definedName>
    <definedName name="_1780l">Abdrift!$L$102</definedName>
    <definedName name="_1780m">Abdrift!$M$102</definedName>
    <definedName name="_1783">Abdrift!$A$86</definedName>
    <definedName name="_1783b">Abdrift!$B$86</definedName>
    <definedName name="_1783c">Abdrift!$C$86</definedName>
    <definedName name="_1783f">Abdrift!$F$86</definedName>
    <definedName name="_1783g">Abdrift!$G$86</definedName>
    <definedName name="_1783h">Abdrift!$H$86</definedName>
    <definedName name="_1783i">Abdrift!$I$86</definedName>
    <definedName name="_1783j">Abdrift!$J$86</definedName>
    <definedName name="_1783k">Abdrift!$K$86</definedName>
    <definedName name="_1783l">Abdrift!$L$86</definedName>
    <definedName name="_1783m">Abdrift!$M$86</definedName>
    <definedName name="_1784">Abdrift!$A$87</definedName>
    <definedName name="_1784b">Abdrift!$B$87</definedName>
    <definedName name="_1784c">Abdrift!$C$87</definedName>
    <definedName name="_1784f">Abdrift!$F$87</definedName>
    <definedName name="_1784g">Abdrift!$G$87</definedName>
    <definedName name="_1784h">Abdrift!$H$87</definedName>
    <definedName name="_1784i">Abdrift!$I$87</definedName>
    <definedName name="_1784j">Abdrift!$J$87</definedName>
    <definedName name="_1784k">Abdrift!$K$87</definedName>
    <definedName name="_1784l">Abdrift!$L$87</definedName>
    <definedName name="_1784m">Abdrift!$M$87</definedName>
    <definedName name="_1787">Abdrift!$A$45</definedName>
    <definedName name="_1787b">Abdrift!$B$45</definedName>
    <definedName name="_1787c">Abdrift!$C$45</definedName>
    <definedName name="_1787f">Abdrift!$F$45</definedName>
    <definedName name="_1787g">Abdrift!$G$45</definedName>
    <definedName name="_1787h">Abdrift!$H$45</definedName>
    <definedName name="_1787i">Abdrift!$I$45</definedName>
    <definedName name="_1787j">Abdrift!$J$45</definedName>
    <definedName name="_1787k">Abdrift!$K$45</definedName>
    <definedName name="_1787l">Abdrift!$L$45</definedName>
    <definedName name="_1787m">Abdrift!$M$45</definedName>
    <definedName name="_1787t">Abdrift!$T$45</definedName>
    <definedName name="_1788">Abdrift!$A$47</definedName>
    <definedName name="_1788b">Abdrift!$B$47</definedName>
    <definedName name="_1788c">Abdrift!$C$47</definedName>
    <definedName name="_1788f">Abdrift!$F$47</definedName>
    <definedName name="_1788g">Abdrift!$G$47</definedName>
    <definedName name="_1788h">Abdrift!$H$47</definedName>
    <definedName name="_1788i">Abdrift!$I$47</definedName>
    <definedName name="_1788j">Abdrift!$J$47</definedName>
    <definedName name="_1788k">Abdrift!$K$47</definedName>
    <definedName name="_1788l">Abdrift!$L$47</definedName>
    <definedName name="_1788m">Abdrift!$M$47</definedName>
    <definedName name="_1788t">Abdrift!$T$47</definedName>
    <definedName name="_1789">Abdrift!$A$49</definedName>
    <definedName name="_1789b">Abdrift!$B$49</definedName>
    <definedName name="_1789c">Abdrift!$C$49</definedName>
    <definedName name="_1789f">Abdrift!$F$49</definedName>
    <definedName name="_1789g">Abdrift!$G$49</definedName>
    <definedName name="_1789h">Abdrift!$H$49</definedName>
    <definedName name="_1789i">Abdrift!$I$49</definedName>
    <definedName name="_1789j">Abdrift!$J$49</definedName>
    <definedName name="_1789k">Abdrift!$K$49</definedName>
    <definedName name="_1789l">Abdrift!$L$49</definedName>
    <definedName name="_1789m">Abdrift!$M$49</definedName>
    <definedName name="_1789t">Abdrift!$T$49</definedName>
    <definedName name="_1795">Abdrift!$A$16</definedName>
    <definedName name="_1795b">Abdrift!$B$16</definedName>
    <definedName name="_1795c">Abdrift!$C$16</definedName>
    <definedName name="_1795f">Abdrift!$F$16</definedName>
    <definedName name="_1795g">Abdrift!$G$16</definedName>
    <definedName name="_1795h">Abdrift!$H$16</definedName>
    <definedName name="_1795i">Abdrift!$I$16</definedName>
    <definedName name="_1795j">Abdrift!$J$16</definedName>
    <definedName name="_1795k">Abdrift!$K$16</definedName>
    <definedName name="_1795l">Abdrift!$L$16</definedName>
    <definedName name="_1795m">Abdrift!$M$16</definedName>
    <definedName name="_1799">Abdrift!$A$43</definedName>
    <definedName name="_1799b">Abdrift!$B$43</definedName>
    <definedName name="_1799c">Abdrift!$C$43</definedName>
    <definedName name="_1799f">Abdrift!$F$43</definedName>
    <definedName name="_1799g">Abdrift!$G$43</definedName>
    <definedName name="_1799h">Abdrift!$H$43</definedName>
    <definedName name="_1799i">Abdrift!$I$43</definedName>
    <definedName name="_1799j">Abdrift!$J$43</definedName>
    <definedName name="_1799k">Abdrift!$K$43</definedName>
    <definedName name="_1799l">Abdrift!$L$43</definedName>
    <definedName name="_1799m">Abdrift!$M$43</definedName>
    <definedName name="_1801">Abdrift!$A$36</definedName>
    <definedName name="_1801b">Abdrift!$B$36</definedName>
    <definedName name="_1801c">Abdrift!$C$36</definedName>
    <definedName name="_1801f">Abdrift!$F$36</definedName>
    <definedName name="_1801g">Abdrift!$G$36</definedName>
    <definedName name="_1801h">Abdrift!$H$36</definedName>
    <definedName name="_1801i">Abdrift!$I$36</definedName>
    <definedName name="_1801j">Abdrift!$J$36</definedName>
    <definedName name="_1801k">Abdrift!$K$36</definedName>
    <definedName name="_1801l">Abdrift!$L$36</definedName>
    <definedName name="_1801m">Abdrift!$M$36</definedName>
    <definedName name="_1821">Abdrift!$A$118</definedName>
    <definedName name="_1821b">Abdrift!$B$118</definedName>
    <definedName name="_1821c">Abdrift!$C$118</definedName>
    <definedName name="_1821f">Abdrift!$F$118</definedName>
    <definedName name="_1821g">Abdrift!$G$118</definedName>
    <definedName name="_1821h">Abdrift!$H$118</definedName>
    <definedName name="_1821i">Abdrift!$I$118</definedName>
    <definedName name="_1821j">Abdrift!$J$118</definedName>
    <definedName name="_1821k">Abdrift!$K$118</definedName>
    <definedName name="_1821l">Abdrift!$L$118</definedName>
    <definedName name="_1821m">Abdrift!$M$118</definedName>
    <definedName name="_1836">Abdrift!$A$59</definedName>
    <definedName name="_1836b">Abdrift!$B$59</definedName>
    <definedName name="_1836c">Abdrift!$C$59</definedName>
    <definedName name="_1836f">Abdrift!$F$59</definedName>
    <definedName name="_1836g">Abdrift!$G$59</definedName>
    <definedName name="_1836h">Abdrift!$H$59</definedName>
    <definedName name="_1836i">Abdrift!$I$59</definedName>
    <definedName name="_1836j">Abdrift!$J$59</definedName>
    <definedName name="_1836k">Abdrift!$K$59</definedName>
    <definedName name="_1836l">Abdrift!$L$59</definedName>
    <definedName name="_1836m">Abdrift!$M$59</definedName>
    <definedName name="_1837">Abdrift!$A$57</definedName>
    <definedName name="_1837b">Abdrift!$B$57</definedName>
    <definedName name="_1837c">Abdrift!$C$57</definedName>
    <definedName name="_1837f">Abdrift!$F$57</definedName>
    <definedName name="_1837g">Abdrift!$G$57</definedName>
    <definedName name="_1837h">Abdrift!$H$57</definedName>
    <definedName name="_1837i">Abdrift!$I$57</definedName>
    <definedName name="_1837j">Abdrift!$J$57</definedName>
    <definedName name="_1837k">Abdrift!$K$57</definedName>
    <definedName name="_1837l">Abdrift!$L$57</definedName>
    <definedName name="_1837m">Abdrift!$M$57</definedName>
    <definedName name="_1848">Abdrift!$A$11</definedName>
    <definedName name="_1848b">Abdrift!$B$11</definedName>
    <definedName name="_1848c">Abdrift!$C$11</definedName>
    <definedName name="_1848f">Abdrift!$F$11</definedName>
    <definedName name="_1848g">Abdrift!$G$11</definedName>
    <definedName name="_1848h">Abdrift!$H$11</definedName>
    <definedName name="_1848i">Abdrift!$I$11</definedName>
    <definedName name="_1848j">Abdrift!$J$11</definedName>
    <definedName name="_1848k">Abdrift!$K$11</definedName>
    <definedName name="_1848l">Abdrift!$L$11</definedName>
    <definedName name="_1848m">Abdrift!$M$11</definedName>
    <definedName name="_1883">Abdrift!$A$56</definedName>
    <definedName name="_1883b">Abdrift!$B$56</definedName>
    <definedName name="_1883c">Abdrift!$C$56</definedName>
    <definedName name="_1883f">Abdrift!$F$56</definedName>
    <definedName name="_1883g">Abdrift!$G$56</definedName>
    <definedName name="_1883h">Abdrift!$H$56</definedName>
    <definedName name="_1883i">Abdrift!$I$56</definedName>
    <definedName name="_1883j">Abdrift!$J$56</definedName>
    <definedName name="_1883k">Abdrift!$K$56</definedName>
    <definedName name="_1883l">Abdrift!$L$56</definedName>
    <definedName name="_1883m">Abdrift!$M$56</definedName>
    <definedName name="_1884">Abdrift!$A$58</definedName>
    <definedName name="_1884b">Abdrift!$B$58</definedName>
    <definedName name="_1884c">Abdrift!$C$58</definedName>
    <definedName name="_1884f">Abdrift!$F$58</definedName>
    <definedName name="_1884g">Abdrift!$G$58</definedName>
    <definedName name="_1884h">Abdrift!$H$58</definedName>
    <definedName name="_1884i">Abdrift!$I$58</definedName>
    <definedName name="_1884j">Abdrift!$J$58</definedName>
    <definedName name="_1884k">Abdrift!$K$58</definedName>
    <definedName name="_1884l">Abdrift!$L$58</definedName>
    <definedName name="_1884m">Abdrift!$M$58</definedName>
    <definedName name="_1891">Abdrift!$A$5</definedName>
    <definedName name="_1891b">Abdrift!$B$5</definedName>
    <definedName name="_1891c">Abdrift!$C$5</definedName>
    <definedName name="_1891f">Abdrift!$F$5</definedName>
    <definedName name="_1891g">Abdrift!$G$5</definedName>
    <definedName name="_1891h">Abdrift!$H$5</definedName>
    <definedName name="_1891i">Abdrift!$I$5</definedName>
    <definedName name="_1891j">Abdrift!$J$5</definedName>
    <definedName name="_1891k">Abdrift!$K$5</definedName>
    <definedName name="_1891l">Abdrift!$L$5</definedName>
    <definedName name="_1891m">Abdrift!$M$5</definedName>
    <definedName name="_1891t">Abdrift!$T$5</definedName>
    <definedName name="_1892">Abdrift!$A$6</definedName>
    <definedName name="_1892b">Abdrift!$B$6</definedName>
    <definedName name="_1892c">Abdrift!$C$6</definedName>
    <definedName name="_1892f">Abdrift!$F$6</definedName>
    <definedName name="_1892g">Abdrift!$G$6</definedName>
    <definedName name="_1892h">Abdrift!$H$6</definedName>
    <definedName name="_1892i">Abdrift!$I$6</definedName>
    <definedName name="_1892j">Abdrift!$J$6</definedName>
    <definedName name="_1892k">Abdrift!$K$6</definedName>
    <definedName name="_1892l">Abdrift!$L$6</definedName>
    <definedName name="_1892m">Abdrift!$M$6</definedName>
    <definedName name="_1892t">Abdrift!$T$6</definedName>
    <definedName name="_1893">Abdrift!$A$9</definedName>
    <definedName name="_1893b">Abdrift!$B$9</definedName>
    <definedName name="_1893c">Abdrift!$C$9</definedName>
    <definedName name="_1893f">Abdrift!$F$9</definedName>
    <definedName name="_1893g">Abdrift!$G$9</definedName>
    <definedName name="_1893h">Abdrift!$H$9</definedName>
    <definedName name="_1893i">Abdrift!$I$9</definedName>
    <definedName name="_1893j">Abdrift!$J$9</definedName>
    <definedName name="_1893k">Abdrift!$K$9</definedName>
    <definedName name="_1893l">Abdrift!$L$9</definedName>
    <definedName name="_1893m">Abdrift!$M$9</definedName>
    <definedName name="_1893t">Abdrift!$T$9</definedName>
    <definedName name="_1896">Abdrift!$A$117</definedName>
    <definedName name="_1896b">Abdrift!$B$117</definedName>
    <definedName name="_1896c">Abdrift!$C$117</definedName>
    <definedName name="_1896f">Abdrift!$F$117</definedName>
    <definedName name="_1896g">Abdrift!$G$117</definedName>
    <definedName name="_1896h">Abdrift!$H$117</definedName>
    <definedName name="_1896i">Abdrift!$I$117</definedName>
    <definedName name="_1896j">Abdrift!$J$117</definedName>
    <definedName name="_1896k">Abdrift!$K$117</definedName>
    <definedName name="_1896l">Abdrift!$L$117</definedName>
    <definedName name="_1896m">Abdrift!$M$117</definedName>
    <definedName name="_1903">Abdrift!$A$24</definedName>
    <definedName name="_1903b">Abdrift!$B$24</definedName>
    <definedName name="_1903c">Abdrift!$C$24</definedName>
    <definedName name="_1903f">Abdrift!$F$24</definedName>
    <definedName name="_1903g">Abdrift!$G$24</definedName>
    <definedName name="_1903h">Abdrift!$H$24</definedName>
    <definedName name="_1903i">Abdrift!$I$24</definedName>
    <definedName name="_1903j">Abdrift!$J$24</definedName>
    <definedName name="_1903k">Abdrift!$K$24</definedName>
    <definedName name="_1903l">Abdrift!$L$24</definedName>
    <definedName name="_1903m">Abdrift!$M$24</definedName>
    <definedName name="_1905">Abdrift!$A$25</definedName>
    <definedName name="_1905b">Abdrift!$B$25</definedName>
    <definedName name="_1905c">Abdrift!$C$25</definedName>
    <definedName name="_1905f">Abdrift!$F$25</definedName>
    <definedName name="_1905g">Abdrift!$G$25</definedName>
    <definedName name="_1905h">Abdrift!$H$25</definedName>
    <definedName name="_1905i">Abdrift!$I$25</definedName>
    <definedName name="_1905j">Abdrift!$J$25</definedName>
    <definedName name="_1905k">Abdrift!$K$25</definedName>
    <definedName name="_1905l">Abdrift!$L$25</definedName>
    <definedName name="_1905m">Abdrift!$M$25</definedName>
    <definedName name="_1907">Abdrift!$A$83</definedName>
    <definedName name="_1907b">Abdrift!$B$83</definedName>
    <definedName name="_1907c">Abdrift!$C$83</definedName>
    <definedName name="_1907f">Abdrift!$F$83</definedName>
    <definedName name="_1907g">Abdrift!$G$83</definedName>
    <definedName name="_1907h">Abdrift!$H$83</definedName>
    <definedName name="_1907i">Abdrift!$I$83</definedName>
    <definedName name="_1907j">Abdrift!$J$83</definedName>
    <definedName name="_1907k">Abdrift!$K$83</definedName>
    <definedName name="_1907l">Abdrift!$L$83</definedName>
    <definedName name="_1907m">Abdrift!$M$83</definedName>
    <definedName name="_1908">Abdrift!$A$84</definedName>
    <definedName name="_1908b">Abdrift!$B$84</definedName>
    <definedName name="_1908c">Abdrift!$C$84</definedName>
    <definedName name="_1908f">Abdrift!$F$84</definedName>
    <definedName name="_1908g">Abdrift!$G$84</definedName>
    <definedName name="_1908h">Abdrift!$H$84</definedName>
    <definedName name="_1908i">Abdrift!$I$84</definedName>
    <definedName name="_1908J">Abdrift!$J$84</definedName>
    <definedName name="_1908k">Abdrift!$K$84</definedName>
    <definedName name="_1908l">Abdrift!$L$84</definedName>
    <definedName name="_1908m">Abdrift!$M$84</definedName>
    <definedName name="_1909">Abdrift!$A$85</definedName>
    <definedName name="_1909b">Abdrift!$B$85</definedName>
    <definedName name="_1909c">Abdrift!$C$85</definedName>
    <definedName name="_1909f">Abdrift!$F$85</definedName>
    <definedName name="_1909g">Abdrift!$G$85</definedName>
    <definedName name="_1909h">Abdrift!$H$85</definedName>
    <definedName name="_1909i">Abdrift!$I$85</definedName>
    <definedName name="_1909j">Abdrift!$J$85</definedName>
    <definedName name="_1909k">Abdrift!$K$85</definedName>
    <definedName name="_1909l">Abdrift!$L$85</definedName>
    <definedName name="_1909m">Abdrift!$M$85</definedName>
    <definedName name="_1911">Abdrift!$A$53</definedName>
    <definedName name="_1911b">Abdrift!$B$53</definedName>
    <definedName name="_1911c">Abdrift!$C$53</definedName>
    <definedName name="_1911f">Abdrift!$F$53</definedName>
    <definedName name="_1911g">Abdrift!$G$53</definedName>
    <definedName name="_1911h">Abdrift!$H$53</definedName>
    <definedName name="_1911i">Abdrift!$I$53</definedName>
    <definedName name="_1911j">Abdrift!$J$53</definedName>
    <definedName name="_1911k">Abdrift!$K$53</definedName>
    <definedName name="_1911l">Abdrift!$L$53</definedName>
    <definedName name="_1911m">Abdrift!$M$53</definedName>
    <definedName name="_1912">Abdrift!$A$54</definedName>
    <definedName name="_1912b">Abdrift!$B$54</definedName>
    <definedName name="_1912c">Abdrift!$C$54</definedName>
    <definedName name="_1912f">Abdrift!$F$54</definedName>
    <definedName name="_1912g">Abdrift!$G$54</definedName>
    <definedName name="_1912h">Abdrift!$H$54</definedName>
    <definedName name="_1912i">Abdrift!$I$54</definedName>
    <definedName name="_1912j">Abdrift!$J$54</definedName>
    <definedName name="_1912k">Abdrift!$K$54</definedName>
    <definedName name="_1912l">Abdrift!$L$54</definedName>
    <definedName name="_1912m">Abdrift!$M$54</definedName>
    <definedName name="_1932">Abdrift!$A$124</definedName>
    <definedName name="_1932b">Abdrift!$B$124</definedName>
    <definedName name="_1932c">Abdrift!$C$124</definedName>
    <definedName name="_1932f">Abdrift!$F$124</definedName>
    <definedName name="_1932g">Abdrift!$G$124</definedName>
    <definedName name="_1932h">Abdrift!$H$124</definedName>
    <definedName name="_1932i">Abdrift!$I$124</definedName>
    <definedName name="_1932j">Abdrift!$J$124</definedName>
    <definedName name="_1932k">Abdrift!$K$124</definedName>
    <definedName name="_1932l">Abdrift!$L$124</definedName>
    <definedName name="_1932m">Abdrift!$M$124</definedName>
    <definedName name="_1932n">Abdrift!$N$124</definedName>
    <definedName name="_1932o">Abdrift!$O$124</definedName>
    <definedName name="_1932t">Abdrift!$T$124</definedName>
    <definedName name="_1933">Abdrift!$A$123</definedName>
    <definedName name="_1933b">Abdrift!$B$123</definedName>
    <definedName name="_1933c">Abdrift!$C$123</definedName>
    <definedName name="_1933f">Abdrift!$F$123</definedName>
    <definedName name="_1933g">Abdrift!$G$123</definedName>
    <definedName name="_1933h">Abdrift!$H$123</definedName>
    <definedName name="_1933i">Abdrift!$I$123</definedName>
    <definedName name="_1933j">Abdrift!$J$123</definedName>
    <definedName name="_1933k">Abdrift!$K$123</definedName>
    <definedName name="_1933l">Abdrift!$L$123</definedName>
    <definedName name="_1933m">Abdrift!$M$123</definedName>
    <definedName name="_1933t">Abdrift!$T$123</definedName>
    <definedName name="_1934">Abdrift!$A$125</definedName>
    <definedName name="_1934b">Abdrift!$B$125</definedName>
    <definedName name="_1934c">Abdrift!$C$125</definedName>
    <definedName name="_1934f">Abdrift!$F$125</definedName>
    <definedName name="_1934g">Abdrift!$G$125</definedName>
    <definedName name="_1934h">Abdrift!$H$125</definedName>
    <definedName name="_1934i">Abdrift!$I$125</definedName>
    <definedName name="_1934j">Abdrift!$J$125</definedName>
    <definedName name="_1934k">Abdrift!$K$125</definedName>
    <definedName name="_1934l">Abdrift!$L$125</definedName>
    <definedName name="_1934m">Abdrift!$M$125</definedName>
    <definedName name="_1934n">Abdrift!$N$125</definedName>
    <definedName name="_1934o">Abdrift!$O$125</definedName>
    <definedName name="_1934t">Abdrift!$T$125</definedName>
    <definedName name="_1935">Abdrift!$A$60</definedName>
    <definedName name="_1935b">Abdrift!$B$60</definedName>
    <definedName name="_1935c">Abdrift!$C$60</definedName>
    <definedName name="_1935f">Abdrift!$F$60</definedName>
    <definedName name="_1935g">Abdrift!$G$60</definedName>
    <definedName name="_1935h">Abdrift!$H$60</definedName>
    <definedName name="_1935i">Abdrift!$I$60</definedName>
    <definedName name="_1935j">Abdrift!$J$60</definedName>
    <definedName name="_1935k">Abdrift!$K$60</definedName>
    <definedName name="_1935l">Abdrift!$L$60</definedName>
    <definedName name="_1935m">Abdrift!$M$60</definedName>
    <definedName name="_1936">Abdrift!$A$38</definedName>
    <definedName name="_1936b">Abdrift!$B$38</definedName>
    <definedName name="_1936c">Abdrift!$C$38</definedName>
    <definedName name="_1936f">Abdrift!$F$38</definedName>
    <definedName name="_1936g">Abdrift!$G$38</definedName>
    <definedName name="_1936h">Abdrift!$H$38</definedName>
    <definedName name="_1936i">Abdrift!$I$38</definedName>
    <definedName name="_1936j">Abdrift!$J$38</definedName>
    <definedName name="_1936k">Abdrift!$K$38</definedName>
    <definedName name="_1936l">Abdrift!$L$38</definedName>
    <definedName name="_1936m">Abdrift!$M$38</definedName>
    <definedName name="_1937">Abdrift!$A$126</definedName>
    <definedName name="_1937b">Abdrift!$B$126</definedName>
    <definedName name="_1937c">Abdrift!$C$126</definedName>
    <definedName name="_1937f">Abdrift!$F$126</definedName>
    <definedName name="_1937g">Abdrift!$G$126</definedName>
    <definedName name="_1937h">Abdrift!$H$126</definedName>
    <definedName name="_1937i">Abdrift!$I$126</definedName>
    <definedName name="_1937j">Abdrift!$J$126</definedName>
    <definedName name="_1937k">Abdrift!$K$126</definedName>
    <definedName name="_1937l">Abdrift!$L$126</definedName>
    <definedName name="_1937m">Abdrift!$M$126</definedName>
    <definedName name="_1937n">Abdrift!$N$126</definedName>
    <definedName name="_1937o">Abdrift!$O$126</definedName>
    <definedName name="_1937t">Abdrift!$T$126</definedName>
    <definedName name="_1945">Abdrift!$A$106</definedName>
    <definedName name="_1945b">Abdrift!$B$106</definedName>
    <definedName name="_1945c">Abdrift!$C$106</definedName>
    <definedName name="_1945f">Abdrift!$F$106</definedName>
    <definedName name="_1945g">Abdrift!$G$106</definedName>
    <definedName name="_1945h">Abdrift!$H$106</definedName>
    <definedName name="_1945i">Abdrift!$I$106</definedName>
    <definedName name="_1945j">Abdrift!$J$106</definedName>
    <definedName name="_1945k">Abdrift!$K$106</definedName>
    <definedName name="_1945l">Abdrift!$L$106</definedName>
    <definedName name="_1945m">Abdrift!$M$106</definedName>
    <definedName name="_1945n">Abdrift!$N$106</definedName>
    <definedName name="_1945o">Abdrift!$O$106</definedName>
    <definedName name="_1947">Abdrift!$A$111</definedName>
    <definedName name="_1947b">Abdrift!$B$111</definedName>
    <definedName name="_1947c">Abdrift!$C$111</definedName>
    <definedName name="_1947f">Abdrift!$F$111</definedName>
    <definedName name="_1947g">Abdrift!$G$111</definedName>
    <definedName name="_1947h">Abdrift!$H$111</definedName>
    <definedName name="_1947i">Abdrift!$I$111</definedName>
    <definedName name="_1947j">Abdrift!$J$111</definedName>
    <definedName name="_1947k">Abdrift!$K$111</definedName>
    <definedName name="_1947l">Abdrift!$L$111</definedName>
    <definedName name="_1947m">Abdrift!$M$111</definedName>
    <definedName name="_1963">Abdrift!$A$37</definedName>
    <definedName name="_1963b">Abdrift!$B$37</definedName>
    <definedName name="_1963c">Abdrift!$C$37</definedName>
    <definedName name="_1963f">Abdrift!$F$37</definedName>
    <definedName name="_1963g">Abdrift!$G$37</definedName>
    <definedName name="_1963h">Abdrift!$H$37</definedName>
    <definedName name="_1963i">Abdrift!$I$37</definedName>
    <definedName name="_1963j">Abdrift!$J$37</definedName>
    <definedName name="_1963k">Abdrift!$K$37</definedName>
    <definedName name="_1963l">Abdrift!$L$37</definedName>
    <definedName name="_1963m">Abdrift!$M$37</definedName>
    <definedName name="_1964">Abdrift!$A$23</definedName>
    <definedName name="_1964b">Abdrift!$B$23</definedName>
    <definedName name="_1964c">Abdrift!$C$23</definedName>
    <definedName name="_1964f">Abdrift!$F$23</definedName>
    <definedName name="_1964g">Abdrift!$G$23</definedName>
    <definedName name="_1964h">Abdrift!$H$23</definedName>
    <definedName name="_1964i">Abdrift!$I$23</definedName>
    <definedName name="_1964j">Abdrift!$J$23</definedName>
    <definedName name="_1964k">Abdrift!$K$23</definedName>
    <definedName name="_1964l">Abdrift!$L$23</definedName>
    <definedName name="_1964m">Abdrift!$M$23</definedName>
    <definedName name="_1965">Abdrift!$A$31</definedName>
    <definedName name="_1965b">Abdrift!$B$31</definedName>
    <definedName name="_1965c">Abdrift!$C$31</definedName>
    <definedName name="_1965f">Abdrift!$F$31</definedName>
    <definedName name="_1965g">Abdrift!$G$31</definedName>
    <definedName name="_1965h">Abdrift!$H$31</definedName>
    <definedName name="_1965i">Abdrift!$I$31</definedName>
    <definedName name="_1965j">Abdrift!$J$31</definedName>
    <definedName name="_1965k">Abdrift!$K$31</definedName>
    <definedName name="_1965l">Abdrift!$L$31</definedName>
    <definedName name="_1965m">Abdrift!$M$31</definedName>
    <definedName name="_1966">Abdrift!$A$34</definedName>
    <definedName name="_1966b">Abdrift!$B$34</definedName>
    <definedName name="_1966c">Abdrift!$C$34</definedName>
    <definedName name="_1966f">Abdrift!$F$34</definedName>
    <definedName name="_1966g">Abdrift!$G$34</definedName>
    <definedName name="_1966h">Abdrift!$H$34</definedName>
    <definedName name="_1966i">Abdrift!$I$34</definedName>
    <definedName name="_1966j">Abdrift!$J$34</definedName>
    <definedName name="_1966k">Abdrift!$K$34</definedName>
    <definedName name="_1966l">Abdrift!$L$34</definedName>
    <definedName name="_1966m">Abdrift!$M$34</definedName>
    <definedName name="_1968">Abdrift!$A$32</definedName>
    <definedName name="_1968b">Abdrift!$B$32</definedName>
    <definedName name="_1968c">Abdrift!$C$32</definedName>
    <definedName name="_1968f">Abdrift!$F$32</definedName>
    <definedName name="_1968g">Abdrift!$G$32</definedName>
    <definedName name="_1968h">Abdrift!$H$32</definedName>
    <definedName name="_1968i">Abdrift!$I$32</definedName>
    <definedName name="_1968j">Abdrift!$J$32</definedName>
    <definedName name="_1968k">Abdrift!$K$32</definedName>
    <definedName name="_1968l">Abdrift!$L$32</definedName>
    <definedName name="_1968m">Abdrift!$M$32</definedName>
    <definedName name="_1972">Abdrift!$A$33</definedName>
    <definedName name="_1972b">Abdrift!$B$33</definedName>
    <definedName name="_1972c">Abdrift!$C$33</definedName>
    <definedName name="_1972f">Abdrift!$F$33</definedName>
    <definedName name="_1972g">Abdrift!$G$33</definedName>
    <definedName name="_1972h">Abdrift!$H$33</definedName>
    <definedName name="_1972i">Abdrift!$I$33</definedName>
    <definedName name="_1972j">Abdrift!$J$33</definedName>
    <definedName name="_1972k">Abdrift!$K$33</definedName>
    <definedName name="_1972l">Abdrift!$L$33</definedName>
    <definedName name="_1972m">Abdrift!$M$33</definedName>
    <definedName name="_1981">Abdrift!$A$80</definedName>
    <definedName name="_1981b">Abdrift!$B$80</definedName>
    <definedName name="_1981c">Abdrift!$C$80</definedName>
    <definedName name="_1981f">Abdrift!$F$80</definedName>
    <definedName name="_1981g">Abdrift!$G$80</definedName>
    <definedName name="_1981h">Abdrift!$H$80</definedName>
    <definedName name="_1981i">Abdrift!$I$80</definedName>
    <definedName name="_1981j">Abdrift!$J$80</definedName>
    <definedName name="_1981k">Abdrift!$K$80</definedName>
    <definedName name="_1981l">Abdrift!$L$80</definedName>
    <definedName name="_1981m">Abdrift!$M$80</definedName>
    <definedName name="_1981n">Abdrift!$N$80</definedName>
    <definedName name="_1981o">Abdrift!$O$80</definedName>
    <definedName name="_1996">Abdrift!$A$4</definedName>
    <definedName name="_1996b">Abdrift!$B$4</definedName>
    <definedName name="_1996c">Abdrift!$C$4</definedName>
    <definedName name="_1996f">Abdrift!$F$4</definedName>
    <definedName name="_1996g">Abdrift!$G$4</definedName>
    <definedName name="_1996h">Abdrift!$H$4</definedName>
    <definedName name="_1996i">Abdrift!$I$4</definedName>
    <definedName name="_1996j">Abdrift!$J$4</definedName>
    <definedName name="_1996k">Abdrift!$K$4</definedName>
    <definedName name="_1996l">Abdrift!$L$4</definedName>
    <definedName name="_1996m">Abdrift!$M$4</definedName>
    <definedName name="_1996n">Abdrift!$N$4</definedName>
    <definedName name="_1996o">Abdrift!$O$4</definedName>
    <definedName name="_1996t">Abdrift!$T$4</definedName>
    <definedName name="_1998">Abdrift!$A$51</definedName>
    <definedName name="_1998b">Abdrift!$B$51</definedName>
    <definedName name="_1998c">Abdrift!$C$51</definedName>
    <definedName name="_1998f">Abdrift!$F$51</definedName>
    <definedName name="_1998g">Abdrift!$G$51</definedName>
    <definedName name="_1998h">Abdrift!$H$51</definedName>
    <definedName name="_1998i">Abdrift!$I$51</definedName>
    <definedName name="_1998j">Abdrift!$J$51</definedName>
    <definedName name="_1998k">Abdrift!$K$51</definedName>
    <definedName name="_1998l">Abdrift!$L$51</definedName>
    <definedName name="_1998m">Abdrift!$M$51</definedName>
    <definedName name="_1998t">Abdrift!$T$51</definedName>
    <definedName name="_2000">Abdrift!$A$75</definedName>
    <definedName name="_2000b">Abdrift!$B$75</definedName>
    <definedName name="_2000c">Abdrift!$C$75</definedName>
    <definedName name="_2000f">Abdrift!$F$75</definedName>
    <definedName name="_2000g">Abdrift!$G$75</definedName>
    <definedName name="_2000h">Abdrift!$H$75</definedName>
    <definedName name="_2000i">Abdrift!$I$75</definedName>
    <definedName name="_2000j">Abdrift!$J$75</definedName>
    <definedName name="_2000k">Abdrift!$K$75</definedName>
    <definedName name="_2000l">Abdrift!$L$75</definedName>
    <definedName name="_2000m">Abdrift!$M$75</definedName>
    <definedName name="_2000t">Abdrift!$T$75</definedName>
    <definedName name="_2015">Abdrift!$A$61</definedName>
    <definedName name="_2015b">Abdrift!$B$61</definedName>
    <definedName name="_2015c">Abdrift!$C$61</definedName>
    <definedName name="_2015f">Abdrift!$F$61</definedName>
    <definedName name="_2015g">Abdrift!$G$61</definedName>
    <definedName name="_2015h">Abdrift!$H$61</definedName>
    <definedName name="_2015i">Abdrift!$I$61</definedName>
    <definedName name="_2015j">Abdrift!$J$61</definedName>
    <definedName name="_2015k">Abdrift!$K$61</definedName>
    <definedName name="_2015l">Abdrift!$L$61</definedName>
    <definedName name="_2015m">Abdrift!$M$61</definedName>
    <definedName name="_2016">Abdrift!$A$63</definedName>
    <definedName name="_2016b">Abdrift!$B$63</definedName>
    <definedName name="_2016c">Abdrift!$C$63</definedName>
    <definedName name="_2016f">Abdrift!$F$63</definedName>
    <definedName name="_2016g">Abdrift!$G$63</definedName>
    <definedName name="_2016h">Abdrift!$H$63</definedName>
    <definedName name="_2016i">Abdrift!$I$63</definedName>
    <definedName name="_2016j">Abdrift!$J$63</definedName>
    <definedName name="_2016k">Abdrift!$K$63</definedName>
    <definedName name="_2016l">Abdrift!$L$63</definedName>
    <definedName name="_2016m">Abdrift!$M$63</definedName>
    <definedName name="_2017">Abdrift!$A$65</definedName>
    <definedName name="_2017b">Abdrift!$B$65</definedName>
    <definedName name="_2017c">Abdrift!$C$65</definedName>
    <definedName name="_2017f">Abdrift!$F$65</definedName>
    <definedName name="_2017g">Abdrift!$G$65</definedName>
    <definedName name="_2017h">Abdrift!$H$65</definedName>
    <definedName name="_2017i">Abdrift!$I$65</definedName>
    <definedName name="_2017j">Abdrift!$J$65</definedName>
    <definedName name="_2017k">Abdrift!$K$65</definedName>
    <definedName name="_2017l">Abdrift!$L$65</definedName>
    <definedName name="_2017m">Abdrift!$M$65</definedName>
    <definedName name="_2018">Abdrift!$A$67</definedName>
    <definedName name="_2018b">Abdrift!$B$67</definedName>
    <definedName name="_2018c">Abdrift!$C$67</definedName>
    <definedName name="_2018f">Abdrift!$F$67</definedName>
    <definedName name="_2018g">Abdrift!$G$67</definedName>
    <definedName name="_2018h">Abdrift!$H$67</definedName>
    <definedName name="_2018i">Abdrift!$I$67</definedName>
    <definedName name="_2018j">Abdrift!$J$67</definedName>
    <definedName name="_2018k">Abdrift!$K$67</definedName>
    <definedName name="_2018l">Abdrift!$L$67</definedName>
    <definedName name="_2018m">Abdrift!$M$67</definedName>
    <definedName name="_2018n">Abdrift!$N$67</definedName>
    <definedName name="_2018o">Abdrift!$O$67</definedName>
    <definedName name="_2019">Abdrift!$A$62</definedName>
    <definedName name="_2019b">Abdrift!$B$62</definedName>
    <definedName name="_2019c">Abdrift!$C$62</definedName>
    <definedName name="_2019f">Abdrift!$F$62</definedName>
    <definedName name="_2019g">Abdrift!$G$62</definedName>
    <definedName name="_2019h">Abdrift!$H$62</definedName>
    <definedName name="_2019i">Abdrift!$I$62</definedName>
    <definedName name="_2019j">Abdrift!$J$62</definedName>
    <definedName name="_2019k">Abdrift!$K$62</definedName>
    <definedName name="_2019l">Abdrift!$L$62</definedName>
    <definedName name="_2019m">Abdrift!$M$62</definedName>
    <definedName name="_2019t">Abdrift!$T$62</definedName>
    <definedName name="_2020">Abdrift!$A$64</definedName>
    <definedName name="_2020b">Abdrift!$B$64</definedName>
    <definedName name="_2020c">Abdrift!$C$64</definedName>
    <definedName name="_2020f">Abdrift!$F$64</definedName>
    <definedName name="_2020g">Abdrift!$G$64</definedName>
    <definedName name="_2020h">Abdrift!$H$64</definedName>
    <definedName name="_2020i">Abdrift!$I$64</definedName>
    <definedName name="_2020j">Abdrift!$J$64</definedName>
    <definedName name="_2020k">Abdrift!$K$64</definedName>
    <definedName name="_2020l">Abdrift!$L$64</definedName>
    <definedName name="_2020m">Abdrift!$M$64</definedName>
    <definedName name="_2020t">Abdrift!$T$64</definedName>
    <definedName name="_2021">Abdrift!$A$66</definedName>
    <definedName name="_2021b">Abdrift!$B$66</definedName>
    <definedName name="_2021c">Abdrift!$C$66</definedName>
    <definedName name="_2021f">Abdrift!$F$66</definedName>
    <definedName name="_2021g">Abdrift!$G$66</definedName>
    <definedName name="_2021h">Abdrift!$H$66</definedName>
    <definedName name="_2021i">Abdrift!$I$66</definedName>
    <definedName name="_2021j">Abdrift!$J$66</definedName>
    <definedName name="_2021k">Abdrift!$K$66</definedName>
    <definedName name="_2021l">Abdrift!$L$66</definedName>
    <definedName name="_2021m">Abdrift!$M$66</definedName>
    <definedName name="_2021n">Abdrift!$N$66</definedName>
    <definedName name="_2021o">Abdrift!$O$66</definedName>
    <definedName name="_2021t">Abdrift!$T$66</definedName>
    <definedName name="_2022">Abdrift!$A$68</definedName>
    <definedName name="_2022b">Abdrift!$B$68</definedName>
    <definedName name="_2022c">Abdrift!$C$68</definedName>
    <definedName name="_2022f">Abdrift!$F$68</definedName>
    <definedName name="_2022g">Abdrift!$G$68</definedName>
    <definedName name="_2022h">Abdrift!$H$68</definedName>
    <definedName name="_2022i">Abdrift!$I$68</definedName>
    <definedName name="_2022j">Abdrift!$J$68</definedName>
    <definedName name="_2022k">Abdrift!$K$68</definedName>
    <definedName name="_2022l">Abdrift!$L$68</definedName>
    <definedName name="_2022m">Abdrift!$M$68</definedName>
    <definedName name="_2022n">Abdrift!$N$68</definedName>
    <definedName name="_2022o">Abdrift!$O$68</definedName>
    <definedName name="_2022t">Abdrift!$T$68</definedName>
    <definedName name="_2046">Abdrift!$A$114</definedName>
    <definedName name="_2046b">Abdrift!$B$114</definedName>
    <definedName name="_2046c">Abdrift!$C$114</definedName>
    <definedName name="_2046f">Abdrift!$F$114</definedName>
    <definedName name="_2046g">Abdrift!$G$114</definedName>
    <definedName name="_2046h">Abdrift!$H$114</definedName>
    <definedName name="_2046i">Abdrift!$I$114</definedName>
    <definedName name="_2046j">Abdrift!$J$114</definedName>
    <definedName name="_2046k">Abdrift!$K$114</definedName>
    <definedName name="_2046l">Abdrift!$L$114</definedName>
    <definedName name="_2046m">Abdrift!$M$114</definedName>
    <definedName name="_2047">Abdrift!$A$115</definedName>
    <definedName name="_2047b">Abdrift!$B$115</definedName>
    <definedName name="_2047c">Abdrift!$C$115</definedName>
    <definedName name="_2047f">Abdrift!$F$115</definedName>
    <definedName name="_2047g">Abdrift!$G$115</definedName>
    <definedName name="_2047h">Abdrift!$H$115</definedName>
    <definedName name="_2047i">Abdrift!$I$115</definedName>
    <definedName name="_2047j">Abdrift!$J$115</definedName>
    <definedName name="_2047k">Abdrift!$K$115</definedName>
    <definedName name="_2047l">Abdrift!$L$115</definedName>
    <definedName name="_2047m">Abdrift!$M$115</definedName>
    <definedName name="_2048">Abdrift!$A$113</definedName>
    <definedName name="_2048b">Abdrift!$B$113</definedName>
    <definedName name="_2048c">Abdrift!$C$113</definedName>
    <definedName name="_2048f">Abdrift!$F$113</definedName>
    <definedName name="_2048g">Abdrift!$G$113</definedName>
    <definedName name="_2048h">Abdrift!$H$113</definedName>
    <definedName name="_2048i">Abdrift!$I$113</definedName>
    <definedName name="_2048j">Abdrift!$J$113</definedName>
    <definedName name="_2048k">Abdrift!$K$113</definedName>
    <definedName name="_2048l">Abdrift!$L$113</definedName>
    <definedName name="_2048m">Abdrift!$M$113</definedName>
    <definedName name="_2049">Abdrift!$A$127</definedName>
    <definedName name="_2049b">Abdrift!$B$127</definedName>
    <definedName name="_2049c">Abdrift!$C$127</definedName>
    <definedName name="_2052">Abdrift!$A$40</definedName>
    <definedName name="_2052b">Abdrift!$B$40</definedName>
    <definedName name="_2052c">Abdrift!$C$40</definedName>
    <definedName name="_2052f">Abdrift!$F$40</definedName>
    <definedName name="_2052g">Abdrift!$G$40</definedName>
    <definedName name="_2052h">Abdrift!$H$40</definedName>
    <definedName name="_2052i">Abdrift!$I$40</definedName>
    <definedName name="_2052j">Abdrift!$J$40</definedName>
    <definedName name="_2052k">Abdrift!$K$40</definedName>
    <definedName name="_2052l">Abdrift!$L$40</definedName>
    <definedName name="_2052m">Abdrift!$M$40</definedName>
    <definedName name="_2052n">Abdrift!$N$40</definedName>
    <definedName name="_2052o">Abdrift!$O$40</definedName>
    <definedName name="_2053">Abdrift!$A$39</definedName>
    <definedName name="_2053b">Abdrift!$B$39</definedName>
    <definedName name="_2053c">Abdrift!$C$39</definedName>
    <definedName name="_2053f">Abdrift!$F$39</definedName>
    <definedName name="_2053g">Abdrift!$G$39</definedName>
    <definedName name="_2053h">Abdrift!$H$39</definedName>
    <definedName name="_2053i">Abdrift!$I$39</definedName>
    <definedName name="_2053j">Abdrift!$J$39</definedName>
    <definedName name="_2053k">Abdrift!$K$39</definedName>
    <definedName name="_2053l">Abdrift!$L$39</definedName>
    <definedName name="_2053m">Abdrift!$M$39</definedName>
    <definedName name="_2053n">Abdrift!$N$39</definedName>
    <definedName name="_2053o">Abdrift!$O$39</definedName>
    <definedName name="_2081">Abdrift!$A$116</definedName>
    <definedName name="_2081b">Abdrift!$B$116</definedName>
    <definedName name="_2081c">Abdrift!$C$116</definedName>
    <definedName name="_2081f">Abdrift!$F$116</definedName>
    <definedName name="_2081g">Abdrift!$G$116</definedName>
    <definedName name="_2081h">Abdrift!$H$116</definedName>
    <definedName name="_2081i">Abdrift!$I$116</definedName>
    <definedName name="_2081j">Abdrift!$J$116</definedName>
    <definedName name="_2081k">Abdrift!$K$116</definedName>
    <definedName name="_2081l">Abdrift!$L$116</definedName>
    <definedName name="_2081m">Abdrift!$M$116</definedName>
    <definedName name="_2084">Abdrift!$A$112</definedName>
    <definedName name="_2084b">Abdrift!$B$112</definedName>
    <definedName name="_2084c">Abdrift!$C$112</definedName>
    <definedName name="_2084f">Abdrift!$F$112</definedName>
    <definedName name="_2084g">Abdrift!$G$112</definedName>
    <definedName name="_2084h">Abdrift!$H$112</definedName>
    <definedName name="_2084i">Abdrift!$I$112</definedName>
    <definedName name="_2084j">Abdrift!$J$112</definedName>
    <definedName name="_2084k">Abdrift!$K$112</definedName>
    <definedName name="_2084l">Abdrift!$L$112</definedName>
    <definedName name="_2084m">Abdrift!$M$112</definedName>
    <definedName name="_2086">Abdrift!$A$30</definedName>
    <definedName name="_2086b">Abdrift!$B$30</definedName>
    <definedName name="_2086c">Abdrift!$C$30</definedName>
    <definedName name="_2086f">Abdrift!$F$30</definedName>
    <definedName name="_2086g">Abdrift!$G$30</definedName>
    <definedName name="_2086h">Abdrift!$H$30</definedName>
    <definedName name="_2086i">Abdrift!$I$30</definedName>
    <definedName name="_2086j">Abdrift!$J$30</definedName>
    <definedName name="_2086k">Abdrift!$K$30</definedName>
    <definedName name="_2086l">Abdrift!$L$30</definedName>
    <definedName name="_2086m">Abdrift!$M$30</definedName>
    <definedName name="_2087">Abdrift!$A$77</definedName>
    <definedName name="_2087b">Abdrift!$B$77</definedName>
    <definedName name="_2087c">Abdrift!$C$77</definedName>
    <definedName name="_2087f">Abdrift!$F$77</definedName>
    <definedName name="_2087g">Abdrift!$G$77</definedName>
    <definedName name="_2087h">Abdrift!$H$77</definedName>
    <definedName name="_2087i">Abdrift!$I$77</definedName>
    <definedName name="_2087j">Abdrift!$J$77</definedName>
    <definedName name="_2087k">Abdrift!$K$77</definedName>
    <definedName name="_2087l">Abdrift!$L$77</definedName>
    <definedName name="_2087m">Abdrift!$M$77</definedName>
    <definedName name="_2087t">Abdrift!$T$77</definedName>
    <definedName name="_2088">Abdrift!$A$35</definedName>
    <definedName name="_2088b">Abdrift!$B$35</definedName>
    <definedName name="_2088c">Abdrift!$C$35</definedName>
    <definedName name="_2088f">Abdrift!$F$35</definedName>
    <definedName name="_2088g">Abdrift!$G$35</definedName>
    <definedName name="_2088h">Abdrift!$H$35</definedName>
    <definedName name="_2088i">Abdrift!$I$35</definedName>
    <definedName name="_2088j">Abdrift!$J$35</definedName>
    <definedName name="_2088k">Abdrift!$K$35</definedName>
    <definedName name="_2088l">Abdrift!$L$35</definedName>
    <definedName name="_2088m">Abdrift!$M$35</definedName>
    <definedName name="_2103">Abdrift!$A$104</definedName>
    <definedName name="_2103b">Abdrift!$B$104</definedName>
    <definedName name="_2103c">Abdrift!$C$104</definedName>
    <definedName name="_2103f">Abdrift!$F$104</definedName>
    <definedName name="_2103g">Abdrift!$G$104</definedName>
    <definedName name="_2103h">Abdrift!$H$104</definedName>
    <definedName name="_2103i">Abdrift!$I$104</definedName>
    <definedName name="_2103j">Abdrift!$J$104</definedName>
    <definedName name="_2103k">Abdrift!$K$104</definedName>
    <definedName name="_2103l">Abdrift!$L$104</definedName>
    <definedName name="_2103m">Abdrift!$M$104</definedName>
    <definedName name="_2104">Abdrift!$A$105</definedName>
    <definedName name="_2104b">Abdrift!$B$105</definedName>
    <definedName name="_2104c">Abdrift!$C$105</definedName>
    <definedName name="_2104f">Abdrift!$F$105</definedName>
    <definedName name="_2104g">Abdrift!$G$105</definedName>
    <definedName name="_2104h">Abdrift!$H$105</definedName>
    <definedName name="_2104i">Abdrift!$I$105</definedName>
    <definedName name="_2104j">Abdrift!$J$105</definedName>
    <definedName name="_2104k">Abdrift!$K$105</definedName>
    <definedName name="_2104l">Abdrift!$L$105</definedName>
    <definedName name="_2104m">Abdrift!$M$105</definedName>
    <definedName name="_2128">Abdrift!$A$81</definedName>
    <definedName name="_2128b">Abdrift!$B$81</definedName>
    <definedName name="_2128c">Abdrift!$C$81</definedName>
    <definedName name="_2128f">Abdrift!$F$81</definedName>
    <definedName name="_2128g">Abdrift!$G$81</definedName>
    <definedName name="_2128h">Abdrift!$H$81</definedName>
    <definedName name="_2128i">Abdrift!$I$81</definedName>
    <definedName name="_2128j">Abdrift!$J$81</definedName>
    <definedName name="_2128k">Abdrift!$K$81</definedName>
    <definedName name="_2128l">Abdrift!$L$81</definedName>
    <definedName name="_2128m">Abdrift!$M$81</definedName>
    <definedName name="_2129">Abdrift!$A$82</definedName>
    <definedName name="_2129b">Abdrift!$B$82</definedName>
    <definedName name="_2129c">Abdrift!$C$82</definedName>
    <definedName name="_2129f">Abdrift!$F$82</definedName>
    <definedName name="_2129g">Abdrift!$G$82</definedName>
    <definedName name="_2129h">Abdrift!$H$82</definedName>
    <definedName name="_2129i">Abdrift!$I$82</definedName>
    <definedName name="_2129j">Abdrift!$J$82</definedName>
    <definedName name="_2129k">Abdrift!$K$82</definedName>
    <definedName name="_2129l">Abdrift!$L$82</definedName>
    <definedName name="_2129m">Abdrift!$M$82</definedName>
    <definedName name="_2156">Abdrift!$A$128</definedName>
    <definedName name="_2156b">Abdrift!$B$128</definedName>
    <definedName name="_2156c">Abdrift!$C$128</definedName>
    <definedName name="_2161">Abdrift!$A$12</definedName>
    <definedName name="_2161b">Abdrift!$B$12</definedName>
    <definedName name="_2161c">Abdrift!$C$12</definedName>
    <definedName name="_2161f">Abdrift!$F$12</definedName>
    <definedName name="_2161g">Abdrift!$G$12</definedName>
    <definedName name="_2161h">Abdrift!$H$12</definedName>
    <definedName name="_2161i">Abdrift!$I$12</definedName>
    <definedName name="_2161j">Abdrift!$J$12</definedName>
    <definedName name="_2161k">Abdrift!$K$12</definedName>
    <definedName name="_2161l">Abdrift!$L$12</definedName>
    <definedName name="_2161m">Abdrift!$M$12</definedName>
    <definedName name="_2185">Abdrift!$A$121</definedName>
    <definedName name="_2185b">Abdrift!$B$121</definedName>
    <definedName name="_2185c">Abdrift!$C$121</definedName>
    <definedName name="_2185f">Abdrift!$F$121</definedName>
    <definedName name="_2185g">Abdrift!$G$121</definedName>
    <definedName name="_2185h">Abdrift!$H$121</definedName>
    <definedName name="_2185i">Abdrift!$I$121</definedName>
    <definedName name="_2185j">Abdrift!$J$121</definedName>
    <definedName name="_2185k">Abdrift!$K$121</definedName>
    <definedName name="_2185l">Abdrift!$L$121</definedName>
    <definedName name="_2185m">Abdrift!$M$121</definedName>
    <definedName name="_2189">Abdrift!$A$122</definedName>
    <definedName name="_2189b">Abdrift!$B$122</definedName>
    <definedName name="_2189c">Abdrift!$C$122</definedName>
    <definedName name="_2189f">Abdrift!$F$122</definedName>
    <definedName name="_2189g">Abdrift!$G$122</definedName>
    <definedName name="_2189h">Abdrift!$H$122</definedName>
    <definedName name="_2189i">Abdrift!$I$122</definedName>
    <definedName name="_2189j">Abdrift!$J$122</definedName>
    <definedName name="_2189k">Abdrift!$K$122</definedName>
    <definedName name="_2189l">Abdrift!$L$122</definedName>
    <definedName name="_2189m">Abdrift!$M$122</definedName>
    <definedName name="_2190">Abdrift!$A$88</definedName>
    <definedName name="_2190b">Abdrift!$B$88</definedName>
    <definedName name="_2190c">Abdrift!$C$88</definedName>
    <definedName name="_2190f">Abdrift!$F$88</definedName>
    <definedName name="_2190g">Abdrift!$G$88</definedName>
    <definedName name="_2190h">Abdrift!$H$88</definedName>
    <definedName name="_2190i">Abdrift!$I$88</definedName>
    <definedName name="_2190j">Abdrift!$J$88</definedName>
    <definedName name="_2190k">Abdrift!$K$88</definedName>
    <definedName name="_2190l">Abdrift!$L$88</definedName>
    <definedName name="_2190m">Abdrift!$M$88</definedName>
    <definedName name="_2193">Abdrift!$A$129</definedName>
    <definedName name="_2193b">Abdrift!$B$129</definedName>
    <definedName name="_2193c">Abdrift!$C$129</definedName>
    <definedName name="_2200">Abdrift!$A$13</definedName>
    <definedName name="_2200b">Abdrift!$B$13</definedName>
    <definedName name="_2200c">Abdrift!$C$13</definedName>
    <definedName name="_2200f">Abdrift!$F$13</definedName>
    <definedName name="_2200g">Abdrift!$G$13</definedName>
    <definedName name="_2200h">Abdrift!$H$13</definedName>
    <definedName name="_2200i">Abdrift!$I$13</definedName>
    <definedName name="_2200j">Abdrift!$J$13</definedName>
    <definedName name="_2200k">Abdrift!$K$13</definedName>
    <definedName name="_2200l">Abdrift!$L$13</definedName>
    <definedName name="_2200m">Abdrift!$M$13</definedName>
    <definedName name="_2204">Abdrift!$A$97</definedName>
    <definedName name="_2204b">Abdrift!$B$97</definedName>
    <definedName name="_2204c">Abdrift!$C$97</definedName>
    <definedName name="_2204f">Abdrift!$F$97</definedName>
    <definedName name="_2204g">Abdrift!$G$97</definedName>
    <definedName name="_2204h">Abdrift!$H$97</definedName>
    <definedName name="_2204i">Abdrift!$I$97</definedName>
    <definedName name="_2204j">Abdrift!$J$97</definedName>
    <definedName name="_2204k">Abdrift!$K$97</definedName>
    <definedName name="_2204l">Abdrift!$L$97</definedName>
    <definedName name="_2204m">Abdrift!$M$97</definedName>
    <definedName name="_2205">Abdrift!$A$98</definedName>
    <definedName name="_2205b">Abdrift!$B$98</definedName>
    <definedName name="_2205c">Abdrift!$C$98</definedName>
    <definedName name="_2205f">Abdrift!$F$98</definedName>
    <definedName name="_2205g">Abdrift!$G$98</definedName>
    <definedName name="_2205h">Abdrift!$H$98</definedName>
    <definedName name="_2205i">Abdrift!$I$98</definedName>
    <definedName name="_2205j">Abdrift!$J$98</definedName>
    <definedName name="_2205k">Abdrift!$K$98</definedName>
    <definedName name="_2205l">Abdrift!$L$98</definedName>
    <definedName name="_2205m">Abdrift!$M$98</definedName>
    <definedName name="_2206">Abdrift!$A$99</definedName>
    <definedName name="_2206b">Abdrift!$B$99</definedName>
    <definedName name="_2206c">Abdrift!$C$99</definedName>
    <definedName name="_2206f">Abdrift!$F$99</definedName>
    <definedName name="_2206g">Abdrift!$G$99</definedName>
    <definedName name="_2206h">Abdrift!$H$99</definedName>
    <definedName name="_2206i">Abdrift!$I$99</definedName>
    <definedName name="_2206j">Abdrift!$J$99</definedName>
    <definedName name="_2206k">Abdrift!$K$99</definedName>
    <definedName name="_2206l">Abdrift!$L$99</definedName>
    <definedName name="_2206m">Abdrift!$M$99</definedName>
    <definedName name="_2207">Abdrift!$A$100</definedName>
    <definedName name="_2207b">Abdrift!$B$100</definedName>
    <definedName name="_2207c">Abdrift!$C$100</definedName>
    <definedName name="_2207f">Abdrift!$F$100</definedName>
    <definedName name="_2207g">Abdrift!$G$100</definedName>
    <definedName name="_2207h">Abdrift!$H$100</definedName>
    <definedName name="_2207i">Abdrift!$I$100</definedName>
    <definedName name="_2207j">Abdrift!$J$100</definedName>
    <definedName name="_2207k">Abdrift!$K$100</definedName>
    <definedName name="_2207l">Abdrift!$L$100</definedName>
    <definedName name="_2207m">Abdrift!$M$100</definedName>
    <definedName name="_2209">Abdrift!$A$96</definedName>
    <definedName name="_2209b">Abdrift!$B$96</definedName>
    <definedName name="_2209c">Abdrift!$C$96</definedName>
    <definedName name="_2209f">Abdrift!$F$96</definedName>
    <definedName name="_2209g">Abdrift!$G$96</definedName>
    <definedName name="_2209h">Abdrift!$H$96</definedName>
    <definedName name="_2209i">Abdrift!$I$96</definedName>
    <definedName name="_2209j">Abdrift!$J$96</definedName>
    <definedName name="_2209k">Abdrift!$K$96</definedName>
    <definedName name="_2209l">Abdrift!$L$96</definedName>
    <definedName name="_2209m">Abdrift!$M$96</definedName>
    <definedName name="_2212">Abdrift!$A$94</definedName>
    <definedName name="_2212b">Abdrift!$B$94</definedName>
    <definedName name="_2212c">Abdrift!$C$94</definedName>
    <definedName name="_2212f">Abdrift!$F$94</definedName>
    <definedName name="_2212g">Abdrift!$G$94</definedName>
    <definedName name="_2212h">Abdrift!$H$94</definedName>
    <definedName name="_2212i">Abdrift!$I$94</definedName>
    <definedName name="_2212j">Abdrift!$J$94</definedName>
    <definedName name="_2212k">Abdrift!$K$94</definedName>
    <definedName name="_2212l">Abdrift!$L$94</definedName>
    <definedName name="_2212m">Abdrift!$M$94</definedName>
    <definedName name="_2213">Abdrift!$A$95</definedName>
    <definedName name="_2213b">Abdrift!$B$95</definedName>
    <definedName name="_2213c">Abdrift!$C$95</definedName>
    <definedName name="_2213f">Abdrift!$F$95</definedName>
    <definedName name="_2213g">Abdrift!$G$95</definedName>
    <definedName name="_2213h">Abdrift!$H$95</definedName>
    <definedName name="_2213i">Abdrift!$I$95</definedName>
    <definedName name="_2213j">Abdrift!$J$95</definedName>
    <definedName name="_2213k">Abdrift!$K$95</definedName>
    <definedName name="_2213l">Abdrift!$L$95</definedName>
    <definedName name="_2213m">Abdrift!$M$95</definedName>
    <definedName name="_2217">Abdrift!$A$90</definedName>
    <definedName name="_2217b">Abdrift!$B$90</definedName>
    <definedName name="_2217c">Abdrift!$C$90</definedName>
    <definedName name="_2217f">Abdrift!$F$90</definedName>
    <definedName name="_2217g">Abdrift!$G$90</definedName>
    <definedName name="_2217h">Abdrift!$H$90</definedName>
    <definedName name="_2217i">Abdrift!$I$90</definedName>
    <definedName name="_2217j">Abdrift!$J$90</definedName>
    <definedName name="_2217k">Abdrift!$K$90</definedName>
    <definedName name="_2217l">Abdrift!$L$90</definedName>
    <definedName name="_2217m">Abdrift!$M$90</definedName>
    <definedName name="_2231">Abdrift!$A$130</definedName>
    <definedName name="_2231b">Abdrift!$B$130</definedName>
    <definedName name="_2231c">Abdrift!$C$130</definedName>
    <definedName name="_2231f">Abdrift!$F$130</definedName>
    <definedName name="_2231g">Abdrift!$G$130</definedName>
    <definedName name="_2231h">Abdrift!$H$130</definedName>
    <definedName name="_2231i">Abdrift!$I$130</definedName>
    <definedName name="_2231j">Abdrift!$J$130</definedName>
    <definedName name="_2231k">Abdrift!$K$130</definedName>
    <definedName name="_2231l">Abdrift!$L$130</definedName>
    <definedName name="_2231m">Abdrift!$M$130</definedName>
    <definedName name="_2231n">Abdrift!$N$130</definedName>
    <definedName name="_2231o">Abdrift!$O$130</definedName>
    <definedName name="_2231t">Abdrift!$T$130</definedName>
    <definedName name="_2234">Abdrift!$A$89</definedName>
    <definedName name="_2234b">Abdrift!$B$89</definedName>
    <definedName name="_2234c">Abdrift!$C$89</definedName>
    <definedName name="_2234f">Abdrift!$F$89</definedName>
    <definedName name="_2234g">Abdrift!$G$89</definedName>
    <definedName name="_2234h">Abdrift!$H$89</definedName>
    <definedName name="_2234i">Abdrift!$I$89</definedName>
    <definedName name="_2234j">Abdrift!$J$89</definedName>
    <definedName name="_2234k">Abdrift!$K$89</definedName>
    <definedName name="_2234l">Abdrift!$L$89</definedName>
    <definedName name="_2234M">Abdrift!$M$89</definedName>
    <definedName name="_2242">Abdrift!$A$103</definedName>
    <definedName name="_2242b">Abdrift!$B$103</definedName>
    <definedName name="_2242c">Abdrift!$C$103</definedName>
    <definedName name="_2242d">Abdrift!$D$103</definedName>
    <definedName name="_2242f">Abdrift!$F$103</definedName>
    <definedName name="_2242g">Abdrift!$G$103</definedName>
    <definedName name="_2242h">Abdrift!$H$103</definedName>
    <definedName name="_2242i">Abdrift!$I$103</definedName>
    <definedName name="_2242j">Abdrift!$J$103</definedName>
    <definedName name="_2242k">Abdrift!$K$103</definedName>
    <definedName name="_2242l">Abdrift!$L$103</definedName>
    <definedName name="_2242m">Abdrift!$M$103</definedName>
    <definedName name="_2280">Abdrift!$A$18</definedName>
    <definedName name="_2280b">Abdrift!$B$18</definedName>
    <definedName name="_2280c">Abdrift!$C$18</definedName>
    <definedName name="_2280f">Abdrift!$F$18</definedName>
    <definedName name="_2280g">Abdrift!$G$18</definedName>
    <definedName name="_2280h">Abdrift!$H$18</definedName>
    <definedName name="_2280i">Abdrift!$I$18</definedName>
    <definedName name="_2280j">Abdrift!$J$18</definedName>
    <definedName name="_2280k">Abdrift!$K$18</definedName>
    <definedName name="_2280l">Abdrift!$L$18</definedName>
    <definedName name="_2280m">Abdrift!$M$18</definedName>
    <definedName name="_2281">Abdrift!$A$19</definedName>
    <definedName name="_2281b">Abdrift!$B$19</definedName>
    <definedName name="_2281c">Abdrift!$C$19</definedName>
    <definedName name="_2281f">Abdrift!$F$19</definedName>
    <definedName name="_2281g">Abdrift!$G$19</definedName>
    <definedName name="_2281h">Abdrift!$H$19</definedName>
    <definedName name="_2281i">Abdrift!$I$19</definedName>
    <definedName name="_2281j">Abdrift!$J$19</definedName>
    <definedName name="_2281k">Abdrift!$K$19</definedName>
    <definedName name="_2281l">Abdrift!$L$19</definedName>
    <definedName name="_2281m">Abdrift!$M$19</definedName>
    <definedName name="_2282">Abdrift!$A$17</definedName>
    <definedName name="_2282b">Abdrift!$B$17</definedName>
    <definedName name="_2282c">Abdrift!$C$17</definedName>
    <definedName name="_2282f">Abdrift!$F$17</definedName>
    <definedName name="_2282g">Abdrift!$G$17</definedName>
    <definedName name="_2282h">Abdrift!$H$17</definedName>
    <definedName name="_2282i">Abdrift!$I$17</definedName>
    <definedName name="_2282j">Abdrift!$J$17</definedName>
    <definedName name="_2282k">Abdrift!$K$17</definedName>
    <definedName name="_2282l">Abdrift!$L$17</definedName>
    <definedName name="_2282m">Abdrift!$M$17</definedName>
    <definedName name="_2290">Abdrift!$A$79</definedName>
    <definedName name="_2290b">Abdrift!$B$79</definedName>
    <definedName name="_2290c">Abdrift!$C$79</definedName>
    <definedName name="_2290f">Abdrift!$F$79</definedName>
    <definedName name="_2290g">Abdrift!$G$79</definedName>
    <definedName name="_2290h">Abdrift!$H$79</definedName>
    <definedName name="_2290i">Abdrift!$I$79</definedName>
    <definedName name="_2290j">Abdrift!$J$79</definedName>
    <definedName name="_2290k">Abdrift!$K$79</definedName>
    <definedName name="_2290l">Abdrift!$L$79</definedName>
    <definedName name="_2290m">Abdrift!$M$79</definedName>
    <definedName name="_2290n">Abdrift!$N$79</definedName>
    <definedName name="_2290o">Abdrift!$O$79</definedName>
    <definedName name="_2291">Abdrift!$A$78</definedName>
    <definedName name="_2291b">Abdrift!$B$78</definedName>
    <definedName name="_2291c">Abdrift!$C$78</definedName>
    <definedName name="_2291f">Abdrift!$F$78</definedName>
    <definedName name="_2291g">Abdrift!$G$78</definedName>
    <definedName name="_2291h">Abdrift!$H$78</definedName>
    <definedName name="_2291i">Abdrift!$I$78</definedName>
    <definedName name="_2291j">Abdrift!$J$78</definedName>
    <definedName name="_2291k">Abdrift!$K$78</definedName>
    <definedName name="_2291l">Abdrift!$L$78</definedName>
    <definedName name="_2291m">Abdrift!$M$78</definedName>
    <definedName name="_2291n">Abdrift!$N$78</definedName>
    <definedName name="_2291o">Abdrift!$O$78</definedName>
    <definedName name="_2293">Abdrift!$A$20</definedName>
    <definedName name="_2293b">Abdrift!$B$20</definedName>
    <definedName name="_2293c">Abdrift!$C$20</definedName>
    <definedName name="_2293f">Abdrift!$F$20</definedName>
    <definedName name="_2293g">Abdrift!$G$20</definedName>
    <definedName name="_2293h">Abdrift!$H$20</definedName>
    <definedName name="_2293i">Abdrift!$I$20</definedName>
    <definedName name="_2293j">Abdrift!$J$20</definedName>
    <definedName name="_2293k">Abdrift!$K$20</definedName>
    <definedName name="_2293l">Abdrift!$L$20</definedName>
    <definedName name="_2293m">Abdrift!$M$20</definedName>
    <definedName name="_2294">Abdrift!$A$21</definedName>
    <definedName name="_2294b">Abdrift!$B$21</definedName>
    <definedName name="_2294c">Abdrift!$C$21</definedName>
    <definedName name="_2294f">Abdrift!$F$21</definedName>
    <definedName name="_2294g">Abdrift!$G$21</definedName>
    <definedName name="_2294h">Abdrift!$H$21</definedName>
    <definedName name="_2294i">Abdrift!$I$21</definedName>
    <definedName name="_2294j">Abdrift!$J$21</definedName>
    <definedName name="_2294k">Abdrift!$K$21</definedName>
    <definedName name="_2294l">Abdrift!$L$21</definedName>
    <definedName name="_2294m">Abdrift!$M$21</definedName>
    <definedName name="_2295">Abdrift!$A$22</definedName>
    <definedName name="_2295b">Abdrift!$B$22</definedName>
    <definedName name="_2295c">Abdrift!$C$22</definedName>
    <definedName name="_2295f">Abdrift!$F$22</definedName>
    <definedName name="_2295g">Abdrift!$G$22</definedName>
    <definedName name="_2295h">Abdrift!$H$22</definedName>
    <definedName name="_2295i">Abdrift!$I$22</definedName>
    <definedName name="_2295j">Abdrift!$J$22</definedName>
    <definedName name="_2295k">Abdrift!$K$22</definedName>
    <definedName name="_2295l">Abdrift!$L$22</definedName>
    <definedName name="_2295m">Abdrift!$M$22</definedName>
    <definedName name="_2300">Abdrift!$A$41</definedName>
    <definedName name="_2300b">Abdrift!$B$41</definedName>
    <definedName name="_2300c">Abdrift!$C$41</definedName>
    <definedName name="_2300f">Abdrift!$F$41</definedName>
    <definedName name="_2300g">Abdrift!$G$41</definedName>
    <definedName name="_2300h">Abdrift!$H$41</definedName>
    <definedName name="_2300i">Abdrift!$I$41</definedName>
    <definedName name="_2300j">Abdrift!$J$41</definedName>
    <definedName name="_2300k">Abdrift!$K$41</definedName>
    <definedName name="_2300l">Abdrift!$L$41</definedName>
    <definedName name="_2300m">Abdrift!$M$41</definedName>
    <definedName name="_2300n">Abdrift!$N$41</definedName>
    <definedName name="_2300o">Abdrift!$O$41</definedName>
    <definedName name="_2309">Abdrift!$A$131</definedName>
    <definedName name="_2309b">Abdrift!$B$131</definedName>
    <definedName name="_2309c">Abdrift!$C$131</definedName>
    <definedName name="_2309f">Abdrift!$F$131</definedName>
    <definedName name="_2309g">Abdrift!$G$131</definedName>
    <definedName name="_2309h">Abdrift!$H$131</definedName>
    <definedName name="_2309i">Abdrift!$I$131</definedName>
    <definedName name="_2309j">Abdrift!$J$131</definedName>
    <definedName name="_2309k">Abdrift!$K$131</definedName>
    <definedName name="_2309l">Abdrift!$L$131</definedName>
    <definedName name="_2309m">Abdrift!$M$131</definedName>
    <definedName name="_2309n">Abdrift!$N$131</definedName>
    <definedName name="_2309o">Abdrift!$O$131</definedName>
    <definedName name="_2309t">Abdrift!$T$131</definedName>
    <definedName name="_2311">Abdrift!$A$42</definedName>
    <definedName name="_2311b">Abdrift!$B$42</definedName>
    <definedName name="_2311c">Abdrift!$C$42</definedName>
    <definedName name="_2311f">Abdrift!$F$42</definedName>
    <definedName name="_2311g">Abdrift!$G$42</definedName>
    <definedName name="_2311h">Abdrift!$H$42</definedName>
    <definedName name="_2311i">Abdrift!$I$42</definedName>
    <definedName name="_2311j">Abdrift!$J$42</definedName>
    <definedName name="_2311k">Abdrift!$K$42</definedName>
    <definedName name="_2311l">Abdrift!$L$42</definedName>
    <definedName name="_2311m">Abdrift!$M$42</definedName>
    <definedName name="_2311n">Abdrift!$N$42</definedName>
    <definedName name="_2311o">Abdrift!$O$42</definedName>
    <definedName name="_2316">Abdrift!$A$132</definedName>
    <definedName name="_2319b">Abdrift!$B$132</definedName>
    <definedName name="_2319c">Abdrift!$C$132</definedName>
    <definedName name="_2319f">Abdrift!$F$132</definedName>
    <definedName name="_2319g">Abdrift!$G$132</definedName>
    <definedName name="_2319h">Abdrift!$H$132</definedName>
    <definedName name="_2319i">Abdrift!$I$132</definedName>
    <definedName name="_2319j">Abdrift!$J$132</definedName>
    <definedName name="_2319k">Abdrift!$K$132</definedName>
    <definedName name="_2319l">Abdrift!$L$132</definedName>
    <definedName name="_2319m">Abdrift!$M$132</definedName>
    <definedName name="_2319n">Abdrift!$N$132</definedName>
    <definedName name="_2319o">Abdrift!$O$132</definedName>
    <definedName name="_2319t">Abdrift!$T$132</definedName>
    <definedName name="_b1753">Abdrift!$A$70</definedName>
    <definedName name="_b1753b">Abdrift!$B$70</definedName>
    <definedName name="_b1753c">Abdrift!$C$70</definedName>
    <definedName name="_b1753f">Abdrift!$F$70</definedName>
    <definedName name="_b1753g">Abdrift!$G$70</definedName>
    <definedName name="_b1753h">Abdrift!$H$70</definedName>
    <definedName name="_b1753i">Abdrift!$I$70</definedName>
    <definedName name="_b1753j">Abdrift!$J$70</definedName>
    <definedName name="_b1753k">Abdrift!$K$70</definedName>
    <definedName name="_b1753l">Abdrift!$L$70</definedName>
    <definedName name="_b1753m">Abdrift!$M$70</definedName>
    <definedName name="_b1753t">Abdrift!$T$70</definedName>
    <definedName name="_b1754">Abdrift!$A$72</definedName>
    <definedName name="_b1754b">Abdrift!$B$72</definedName>
    <definedName name="_b1754c">Abdrift!$C$72</definedName>
    <definedName name="_b1754f">Abdrift!$F$72</definedName>
    <definedName name="_b1754g">Abdrift!$G$72</definedName>
    <definedName name="_b1754h">Abdrift!$H$72</definedName>
    <definedName name="_b1754i">Abdrift!$I$72</definedName>
    <definedName name="_b1754j">Abdrift!$J$72</definedName>
    <definedName name="_b1754k">Abdrift!$K$72</definedName>
    <definedName name="_b1754l">Abdrift!$L$72</definedName>
    <definedName name="_b1754m">Abdrift!$M$72</definedName>
    <definedName name="_b1754t">Abdrift!$T$72</definedName>
    <definedName name="_b1755">Abdrift!$A$74</definedName>
    <definedName name="_b1755b">Abdrift!$B$74</definedName>
    <definedName name="_b1755c">Abdrift!$C$74</definedName>
    <definedName name="_b1755f">Abdrift!$F$74</definedName>
    <definedName name="_b1755g">Abdrift!$G$74</definedName>
    <definedName name="_b1755h">Abdrift!$H$74</definedName>
    <definedName name="_b1755i">Abdrift!$I$74</definedName>
    <definedName name="_b1755j">Abdrift!$J$74</definedName>
    <definedName name="_b1755k">Abdrift!$K$74</definedName>
    <definedName name="_b1755l">Abdrift!$L$74</definedName>
    <definedName name="_b1755m">Abdrift!$M$74</definedName>
    <definedName name="_b1755t">Abdrift!$T$74</definedName>
    <definedName name="_b1758">Abdrift!$A$15</definedName>
    <definedName name="_b1758b">Abdrift!$B$15</definedName>
    <definedName name="_b1758c">Abdrift!$C$15</definedName>
    <definedName name="_b1758f">Abdrift!$F$15</definedName>
    <definedName name="_b1758g">Abdrift!$G$15</definedName>
    <definedName name="_b1758h">Abdrift!$H$15</definedName>
    <definedName name="_b1758i">Abdrift!$I$15</definedName>
    <definedName name="_b1758j">Abdrift!$J$15</definedName>
    <definedName name="_b1758k">Abdrift!$K$15</definedName>
    <definedName name="_b1758l">Abdrift!$L$15</definedName>
    <definedName name="_b1758m">Abdrift!$M$15</definedName>
    <definedName name="_b1758t">Abdrift!$T$15</definedName>
    <definedName name="_b1779">Abdrift!$A$119</definedName>
    <definedName name="_b1779b">Abdrift!$B$119</definedName>
    <definedName name="_b1779c">Abdrift!$C$119</definedName>
    <definedName name="_b1779f">Abdrift!$F$119</definedName>
    <definedName name="_b1779g">Abdrift!$G$119</definedName>
    <definedName name="_b1779h">Abdrift!$H$119</definedName>
    <definedName name="_b1779i">Abdrift!$I$119</definedName>
    <definedName name="_b1779j">Abdrift!$J$119</definedName>
    <definedName name="_b1779k">Abdrift!$K$119</definedName>
    <definedName name="_b1779l">Abdrift!$L$119</definedName>
    <definedName name="_b1779m">Abdrift!$M$119</definedName>
    <definedName name="_b1780">Abdrift!$A$120</definedName>
    <definedName name="_b1780b">Abdrift!$B$120</definedName>
    <definedName name="_b1780c">Abdrift!$C$120</definedName>
    <definedName name="_b1780f">Abdrift!$F$120</definedName>
    <definedName name="_b1780g">Abdrift!$G$120</definedName>
    <definedName name="_b1780h">Abdrift!$H$120</definedName>
    <definedName name="_b1780i">Abdrift!$I$120</definedName>
    <definedName name="_b1780j">Abdrift!$J$120</definedName>
    <definedName name="_b1780k">Abdrift!$K$120</definedName>
    <definedName name="_b1780l">Abdrift!$L$120</definedName>
    <definedName name="_b1780m">Abdrift!$M$120</definedName>
    <definedName name="_b1787">Abdrift!$A$46</definedName>
    <definedName name="_b1787b">Abdrift!$B$46</definedName>
    <definedName name="_b1787c">Abdrift!$C$46</definedName>
    <definedName name="_b1787f">Abdrift!$F$46</definedName>
    <definedName name="_b1787g">Abdrift!$G$46</definedName>
    <definedName name="_b1787h">Abdrift!$H$46</definedName>
    <definedName name="_b1787i">Abdrift!$I$46</definedName>
    <definedName name="_b1787j">Abdrift!$J$46</definedName>
    <definedName name="_b1787k">Abdrift!$K$46</definedName>
    <definedName name="_b1787l">Abdrift!$L$46</definedName>
    <definedName name="_b1787m">Abdrift!$M$46</definedName>
    <definedName name="_b1787t">Abdrift!$T$46</definedName>
    <definedName name="_b1788">Abdrift!$A$48</definedName>
    <definedName name="_b1788b">Abdrift!$B$48</definedName>
    <definedName name="_b1788c">Abdrift!$C$48</definedName>
    <definedName name="_b1788f">Abdrift!$F$48</definedName>
    <definedName name="_b1788g">Abdrift!$G$48</definedName>
    <definedName name="_b1788h">Abdrift!$H$48</definedName>
    <definedName name="_b1788i">Abdrift!$I$48</definedName>
    <definedName name="_b1788j">Abdrift!$J$48</definedName>
    <definedName name="_b1788k">Abdrift!$K$48</definedName>
    <definedName name="_b1788l">Abdrift!$L$48</definedName>
    <definedName name="_b1788m">Abdrift!$M$48</definedName>
    <definedName name="_b1788t">Abdrift!$T$48</definedName>
    <definedName name="_b1789">Abdrift!$A$50</definedName>
    <definedName name="_b1789b">Abdrift!$B$50</definedName>
    <definedName name="_b1789c">Abdrift!$C$50</definedName>
    <definedName name="_b1789f">Abdrift!$F$50</definedName>
    <definedName name="_b1789g">Abdrift!$G$50</definedName>
    <definedName name="_b1789h">Abdrift!$H$50</definedName>
    <definedName name="_b1789i">Abdrift!$I$50</definedName>
    <definedName name="_b1789j">Abdrift!$J$50</definedName>
    <definedName name="_b1789k">Abdrift!$K$50</definedName>
    <definedName name="_b1789l">Abdrift!$L$50</definedName>
    <definedName name="_b1789m">Abdrift!$M$50</definedName>
    <definedName name="_b1789t">Abdrift!$T$50</definedName>
    <definedName name="_b1892">Abdrift!$A$7</definedName>
    <definedName name="_b1892b">Abdrift!$B$7</definedName>
    <definedName name="_b1892c">Abdrift!$C$7</definedName>
    <definedName name="_b1892f">Abdrift!$F$7</definedName>
    <definedName name="_b1892g">Abdrift!$G$7</definedName>
    <definedName name="_b1892h">Abdrift!$H$7</definedName>
    <definedName name="_b1892i">Abdrift!$I$7</definedName>
    <definedName name="_b1892j">Abdrift!$J$7</definedName>
    <definedName name="_b1892k">Abdrift!$K$7</definedName>
    <definedName name="_b1892l">Abdrift!$L$7</definedName>
    <definedName name="_b1892m">Abdrift!$M$7</definedName>
    <definedName name="_b1892t">Abdrift!$T$7</definedName>
    <definedName name="_b1893">Abdrift!$A$10</definedName>
    <definedName name="_b1893b">Abdrift!$B$10</definedName>
    <definedName name="_b1893c">Abdrift!$C$10</definedName>
    <definedName name="_b1893f">Abdrift!$F$10</definedName>
    <definedName name="_b1893g">Abdrift!$G$10</definedName>
    <definedName name="_b1893h">Abdrift!$H$10</definedName>
    <definedName name="_b1893i">Abdrift!$I$10</definedName>
    <definedName name="_b1893j">Abdrift!$J$10</definedName>
    <definedName name="_b1893k">Abdrift!$K$10</definedName>
    <definedName name="_b1893l">Abdrift!$L$10</definedName>
    <definedName name="_b1893m">Abdrift!$M$10</definedName>
    <definedName name="_b1893t">Abdrift!$T$10</definedName>
    <definedName name="_b1998">Abdrift!$A$52</definedName>
    <definedName name="_b1998b">Abdrift!$B$52</definedName>
    <definedName name="_b1998c">Abdrift!$C$52</definedName>
    <definedName name="_b1998f">Abdrift!$F$52</definedName>
    <definedName name="_b1998g">Abdrift!$G$52</definedName>
    <definedName name="_b1998h">Abdrift!$H$52</definedName>
    <definedName name="_b1998i">Abdrift!$I$52</definedName>
    <definedName name="_b1998j">Abdrift!$J$52</definedName>
    <definedName name="_b1998k">Abdrift!$K$52</definedName>
    <definedName name="_b1998l">Abdrift!$L$52</definedName>
    <definedName name="_b1998m">Abdrift!$M$52</definedName>
    <definedName name="_b1998t">Abdrift!$T$52</definedName>
    <definedName name="_b2000">Abdrift!$A$76</definedName>
    <definedName name="_b2000b">Abdrift!$B$76</definedName>
    <definedName name="_b2000c">Abdrift!$C$76</definedName>
    <definedName name="_b2000f">Abdrift!$F$76</definedName>
    <definedName name="_b2000g">Abdrift!$G$76</definedName>
    <definedName name="_b2000h">Abdrift!$H$76</definedName>
    <definedName name="_b2000i">Abdrift!$I$76</definedName>
    <definedName name="_b2000j">Abdrift!$J$76</definedName>
    <definedName name="_b2000k">Abdrift!$K$76</definedName>
    <definedName name="_b2000l">Abdrift!$L$76</definedName>
    <definedName name="_b2000m">Abdrift!$M$76</definedName>
    <definedName name="_b2000n">Abdrift!$N$76</definedName>
    <definedName name="_b2000o">Abdrift!$O$76</definedName>
    <definedName name="_b2000t">Abdrift!$T$76</definedName>
    <definedName name="_b2018">Abdrift!$A$91</definedName>
    <definedName name="_b2018b">Abdrift!$B$91</definedName>
    <definedName name="_b2018c">Abdrift!$C$91</definedName>
    <definedName name="_b2018f">Abdrift!$F$91</definedName>
    <definedName name="_b2018g">Abdrift!$G$91</definedName>
    <definedName name="_b2018h">Abdrift!$H$91</definedName>
    <definedName name="_b2018i">Abdrift!$I$91</definedName>
    <definedName name="_b2018j">Abdrift!$J$91</definedName>
    <definedName name="_b2018k">Abdrift!$K$91</definedName>
    <definedName name="_b2018l">Abdrift!$L$91</definedName>
    <definedName name="_b2018m">Abdrift!$M$91</definedName>
    <definedName name="_b2019">Abdrift!$A$92</definedName>
    <definedName name="_b2019b">Abdrift!$B$92</definedName>
    <definedName name="_b2019c">Abdrift!$C$92</definedName>
    <definedName name="_b2019f">Abdrift!$F$92</definedName>
    <definedName name="_b2019g">Abdrift!$G$92</definedName>
    <definedName name="_b2019h">Abdrift!$H$92</definedName>
    <definedName name="_b2019i">Abdrift!$I$92</definedName>
    <definedName name="_b2019j">Abdrift!$J$92</definedName>
    <definedName name="_b2019k">Abdrift!$K$92</definedName>
    <definedName name="_b2019l">Abdrift!$L$92</definedName>
    <definedName name="_b2019m">Abdrift!$M$92</definedName>
    <definedName name="_b2020">Abdrift!$A$93</definedName>
    <definedName name="_b2020b">Abdrift!$B$93</definedName>
    <definedName name="_b2020c">Abdrift!$C$93</definedName>
    <definedName name="_b2020f">Abdrift!$F$93</definedName>
    <definedName name="_b2020g">Abdrift!$G$93</definedName>
    <definedName name="_b2020h">Abdrift!$H$93</definedName>
    <definedName name="_b2020i">Abdrift!$I$93</definedName>
    <definedName name="_b2020j">Abdrift!$J$93</definedName>
    <definedName name="_b2020k">Abdrift!$K$93</definedName>
    <definedName name="_b2020l">Abdrift!$L$93</definedName>
    <definedName name="_b2020m">Abdrift!$M$93</definedName>
    <definedName name="_b2020n">Abdrift!$N$93</definedName>
    <definedName name="_b2020o">Abdrift!$O$93</definedName>
    <definedName name="_c1892">Abdrift!$A$8</definedName>
    <definedName name="_c1892b">Abdrift!$B$8</definedName>
    <definedName name="_c1892c">Abdrift!$C$8</definedName>
    <definedName name="_c1892f">Abdrift!$F$8</definedName>
    <definedName name="_c1892g">Abdrift!$G$8</definedName>
    <definedName name="_c1892h">Abdrift!$H$8</definedName>
    <definedName name="_c1892i">Abdrift!$I$8</definedName>
    <definedName name="_c1892j">Abdrift!$J$8</definedName>
    <definedName name="_c1892k">Abdrift!$K$8</definedName>
    <definedName name="_c1892l">Abdrift!$L$8</definedName>
    <definedName name="_c1892m">Abdrift!$M$8</definedName>
    <definedName name="_c1892t">Abdrift!$T$8</definedName>
    <definedName name="_d1892">Abdrift!$A$55</definedName>
    <definedName name="_d1892b">Abdrift!$B$55</definedName>
    <definedName name="_d1892c">Abdrift!$C$55</definedName>
    <definedName name="_d1892f">Abdrift!$F$55</definedName>
    <definedName name="_d1892g">Abdrift!$G$55</definedName>
    <definedName name="_d1892h">Abdrift!$H$55</definedName>
    <definedName name="_d1892i">Abdrift!$I$55</definedName>
    <definedName name="_d1892j">Abdrift!$J$55</definedName>
    <definedName name="_d1892k">Abdrift!$K$55</definedName>
    <definedName name="_d1892l">Abdrift!$L$55</definedName>
    <definedName name="_d1892m">Abdrift!$M$55</definedName>
    <definedName name="_Fill" hidden="1">[1]MESS!$AC$184:$AC$233</definedName>
    <definedName name="_xlnm._FilterDatabase" localSheetId="1" hidden="1">Abdrift!$A$1:$U$122</definedName>
    <definedName name="bar" localSheetId="36">#REF!</definedName>
    <definedName name="bar" localSheetId="45">#REF!</definedName>
    <definedName name="bar" localSheetId="53">#REF!</definedName>
    <definedName name="bar" localSheetId="56">#REF!</definedName>
    <definedName name="bar" localSheetId="59">#REF!</definedName>
    <definedName name="bar" localSheetId="60">#REF!</definedName>
    <definedName name="bar" localSheetId="35">#REF!</definedName>
    <definedName name="bar" localSheetId="44">#REF!</definedName>
    <definedName name="bar" localSheetId="52">#REF!</definedName>
    <definedName name="bar" localSheetId="3">#REF!</definedName>
    <definedName name="bar" localSheetId="6">#REF!</definedName>
    <definedName name="bar" localSheetId="9">#REF!</definedName>
    <definedName name="bar" localSheetId="10">#REF!</definedName>
    <definedName name="bar" localSheetId="17">#REF!</definedName>
    <definedName name="bar" localSheetId="24">#REF!</definedName>
    <definedName name="bar" localSheetId="32">#REF!</definedName>
    <definedName name="bar" localSheetId="41">#REF!</definedName>
    <definedName name="bar" localSheetId="50">#REF!</definedName>
    <definedName name="bar" localSheetId="2">#REF!</definedName>
    <definedName name="bar" localSheetId="4">#REF!</definedName>
    <definedName name="bar" localSheetId="5">#REF!</definedName>
    <definedName name="bar" localSheetId="7">#REF!</definedName>
    <definedName name="bar" localSheetId="8">#REF!</definedName>
    <definedName name="bar" localSheetId="13">#REF!</definedName>
    <definedName name="bar" localSheetId="14">#REF!</definedName>
    <definedName name="bar" localSheetId="15">#REF!</definedName>
    <definedName name="bar" localSheetId="22">#REF!</definedName>
    <definedName name="bar" localSheetId="26">#REF!</definedName>
    <definedName name="bar" localSheetId="29">#REF!</definedName>
    <definedName name="bar" localSheetId="30">#REF!</definedName>
    <definedName name="bar" localSheetId="34">#REF!</definedName>
    <definedName name="bar" localSheetId="39">#REF!</definedName>
    <definedName name="bar" localSheetId="48">#REF!</definedName>
    <definedName name="bar" localSheetId="12">#REF!</definedName>
    <definedName name="bar" localSheetId="18">#REF!</definedName>
    <definedName name="bar" localSheetId="25">#REF!</definedName>
    <definedName name="bar" localSheetId="33">#REF!</definedName>
    <definedName name="bar" localSheetId="42">#REF!</definedName>
    <definedName name="bar" localSheetId="51">#REF!</definedName>
    <definedName name="bar" localSheetId="11">#REF!</definedName>
    <definedName name="bar" localSheetId="16">#REF!</definedName>
    <definedName name="bar" localSheetId="23">#REF!</definedName>
    <definedName name="bar" localSheetId="31">#REF!</definedName>
    <definedName name="bar" localSheetId="40">#REF!</definedName>
    <definedName name="bar" localSheetId="49">#REF!</definedName>
    <definedName name="bar" localSheetId="20">#REF!</definedName>
    <definedName name="bar" localSheetId="28">#REF!</definedName>
    <definedName name="bar" localSheetId="38">#REF!</definedName>
    <definedName name="bar" localSheetId="47">#REF!</definedName>
    <definedName name="bar" localSheetId="55">#REF!</definedName>
    <definedName name="bar" localSheetId="58">#REF!</definedName>
    <definedName name="bar" localSheetId="19">#REF!</definedName>
    <definedName name="bar" localSheetId="27">#REF!</definedName>
    <definedName name="bar" localSheetId="37">#REF!</definedName>
    <definedName name="bar" localSheetId="46">#REF!</definedName>
    <definedName name="bar" localSheetId="54">#REF!</definedName>
    <definedName name="bar" localSheetId="43">#REF!</definedName>
    <definedName name="bar">#REF!</definedName>
    <definedName name="Dropleg" localSheetId="36">#REF!</definedName>
    <definedName name="Dropleg" localSheetId="45">#REF!</definedName>
    <definedName name="Dropleg" localSheetId="53">#REF!</definedName>
    <definedName name="Dropleg" localSheetId="56">#REF!</definedName>
    <definedName name="Dropleg" localSheetId="59">#REF!</definedName>
    <definedName name="Dropleg" localSheetId="60">#REF!</definedName>
    <definedName name="Dropleg" localSheetId="35">#REF!</definedName>
    <definedName name="Dropleg" localSheetId="44">#REF!</definedName>
    <definedName name="Dropleg" localSheetId="52">#REF!</definedName>
    <definedName name="Dropleg" localSheetId="3">#REF!</definedName>
    <definedName name="Dropleg" localSheetId="6">#REF!</definedName>
    <definedName name="Dropleg" localSheetId="9">#REF!</definedName>
    <definedName name="Dropleg" localSheetId="10">#REF!</definedName>
    <definedName name="Dropleg" localSheetId="17">#REF!</definedName>
    <definedName name="Dropleg" localSheetId="24">#REF!</definedName>
    <definedName name="Dropleg" localSheetId="32">#REF!</definedName>
    <definedName name="Dropleg" localSheetId="41">#REF!</definedName>
    <definedName name="Dropleg" localSheetId="50">#REF!</definedName>
    <definedName name="Dropleg" localSheetId="2">#REF!</definedName>
    <definedName name="Dropleg" localSheetId="4">#REF!</definedName>
    <definedName name="Dropleg" localSheetId="5">#REF!</definedName>
    <definedName name="Dropleg" localSheetId="7">#REF!</definedName>
    <definedName name="Dropleg" localSheetId="8">#REF!</definedName>
    <definedName name="Dropleg" localSheetId="13">#REF!</definedName>
    <definedName name="Dropleg" localSheetId="14">#REF!</definedName>
    <definedName name="Dropleg" localSheetId="15">#REF!</definedName>
    <definedName name="Dropleg" localSheetId="22">#REF!</definedName>
    <definedName name="Dropleg" localSheetId="26">#REF!</definedName>
    <definedName name="Dropleg" localSheetId="29">#REF!</definedName>
    <definedName name="Dropleg" localSheetId="30">#REF!</definedName>
    <definedName name="Dropleg" localSheetId="34">#REF!</definedName>
    <definedName name="Dropleg" localSheetId="39">#REF!</definedName>
    <definedName name="Dropleg" localSheetId="48">#REF!</definedName>
    <definedName name="Dropleg" localSheetId="12">#REF!</definedName>
    <definedName name="Dropleg" localSheetId="18">#REF!</definedName>
    <definedName name="Dropleg" localSheetId="25">#REF!</definedName>
    <definedName name="Dropleg" localSheetId="33">#REF!</definedName>
    <definedName name="Dropleg" localSheetId="42">#REF!</definedName>
    <definedName name="Dropleg" localSheetId="51">#REF!</definedName>
    <definedName name="Dropleg" localSheetId="11">#REF!</definedName>
    <definedName name="Dropleg" localSheetId="16">#REF!</definedName>
    <definedName name="Dropleg" localSheetId="23">#REF!</definedName>
    <definedName name="Dropleg" localSheetId="31">#REF!</definedName>
    <definedName name="Dropleg" localSheetId="40">#REF!</definedName>
    <definedName name="Dropleg" localSheetId="49">#REF!</definedName>
    <definedName name="Dropleg" localSheetId="20">#REF!</definedName>
    <definedName name="Dropleg" localSheetId="28">#REF!</definedName>
    <definedName name="Dropleg" localSheetId="38">#REF!</definedName>
    <definedName name="Dropleg" localSheetId="47">#REF!</definedName>
    <definedName name="Dropleg" localSheetId="55">#REF!</definedName>
    <definedName name="Dropleg" localSheetId="58">#REF!</definedName>
    <definedName name="Dropleg" localSheetId="19">#REF!</definedName>
    <definedName name="Dropleg" localSheetId="27">#REF!</definedName>
    <definedName name="Dropleg" localSheetId="37">#REF!</definedName>
    <definedName name="Dropleg" localSheetId="46">#REF!</definedName>
    <definedName name="Dropleg" localSheetId="54">#REF!</definedName>
    <definedName name="Dropleg" localSheetId="43">#REF!</definedName>
    <definedName name="Dropleg">#REF!</definedName>
    <definedName name="i">Abdrift!$I$92</definedName>
    <definedName name="spb" localSheetId="36">#REF!</definedName>
    <definedName name="spb" localSheetId="45">#REF!</definedName>
    <definedName name="spb" localSheetId="53">#REF!</definedName>
    <definedName name="spb" localSheetId="56">#REF!</definedName>
    <definedName name="spb" localSheetId="59">#REF!</definedName>
    <definedName name="spb" localSheetId="60">#REF!</definedName>
    <definedName name="spb" localSheetId="35">#REF!</definedName>
    <definedName name="spb" localSheetId="44">#REF!</definedName>
    <definedName name="spb" localSheetId="52">#REF!</definedName>
    <definedName name="spb" localSheetId="3">#REF!</definedName>
    <definedName name="spb" localSheetId="6">#REF!</definedName>
    <definedName name="spb" localSheetId="9">#REF!</definedName>
    <definedName name="spb" localSheetId="10">#REF!</definedName>
    <definedName name="spb" localSheetId="17">#REF!</definedName>
    <definedName name="spb" localSheetId="24">#REF!</definedName>
    <definedName name="spb" localSheetId="32">#REF!</definedName>
    <definedName name="spb" localSheetId="41">#REF!</definedName>
    <definedName name="spb" localSheetId="50">#REF!</definedName>
    <definedName name="spb" localSheetId="2">#REF!</definedName>
    <definedName name="spb" localSheetId="4">#REF!</definedName>
    <definedName name="spb" localSheetId="5">#REF!</definedName>
    <definedName name="spb" localSheetId="7">#REF!</definedName>
    <definedName name="spb" localSheetId="8">#REF!</definedName>
    <definedName name="spb" localSheetId="13">#REF!</definedName>
    <definedName name="spb" localSheetId="14">#REF!</definedName>
    <definedName name="spb" localSheetId="15">#REF!</definedName>
    <definedName name="spb" localSheetId="22">#REF!</definedName>
    <definedName name="spb" localSheetId="26">#REF!</definedName>
    <definedName name="spb" localSheetId="29">#REF!</definedName>
    <definedName name="spb" localSheetId="30">#REF!</definedName>
    <definedName name="spb" localSheetId="34">#REF!</definedName>
    <definedName name="spb" localSheetId="39">#REF!</definedName>
    <definedName name="spb" localSheetId="48">#REF!</definedName>
    <definedName name="spb" localSheetId="12">#REF!</definedName>
    <definedName name="spb" localSheetId="18">#REF!</definedName>
    <definedName name="spb" localSheetId="25">#REF!</definedName>
    <definedName name="spb" localSheetId="33">#REF!</definedName>
    <definedName name="spb" localSheetId="42">#REF!</definedName>
    <definedName name="spb" localSheetId="51">#REF!</definedName>
    <definedName name="spb" localSheetId="11">#REF!</definedName>
    <definedName name="spb" localSheetId="16">#REF!</definedName>
    <definedName name="spb" localSheetId="23">#REF!</definedName>
    <definedName name="spb" localSheetId="31">#REF!</definedName>
    <definedName name="spb" localSheetId="40">#REF!</definedName>
    <definedName name="spb" localSheetId="49">#REF!</definedName>
    <definedName name="spb" localSheetId="20">#REF!</definedName>
    <definedName name="spb" localSheetId="28">#REF!</definedName>
    <definedName name="spb" localSheetId="38">#REF!</definedName>
    <definedName name="spb" localSheetId="47">#REF!</definedName>
    <definedName name="spb" localSheetId="55">#REF!</definedName>
    <definedName name="spb" localSheetId="58">#REF!</definedName>
    <definedName name="spb" localSheetId="19">#REF!</definedName>
    <definedName name="spb" localSheetId="27">#REF!</definedName>
    <definedName name="spb" localSheetId="37">#REF!</definedName>
    <definedName name="spb" localSheetId="46">#REF!</definedName>
    <definedName name="spb" localSheetId="54">#REF!</definedName>
    <definedName name="spb" localSheetId="43">#REF!</definedName>
    <definedName name="spb">#REF!</definedName>
    <definedName name="vj">Abdrift!$J$84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" i="79" l="1"/>
  <c r="J1" i="79"/>
  <c r="Y101" i="79"/>
  <c r="Z101" i="79" s="1"/>
  <c r="AC101" i="79" s="1"/>
  <c r="AA101" i="79" s="1"/>
  <c r="W101" i="79"/>
  <c r="Y90" i="79"/>
  <c r="Z90" i="79" s="1"/>
  <c r="AC90" i="79" s="1"/>
  <c r="W90" i="79"/>
  <c r="Y79" i="79"/>
  <c r="Z79" i="79" s="1"/>
  <c r="AC79" i="79" s="1"/>
  <c r="W79" i="79"/>
  <c r="W68" i="79"/>
  <c r="Y68" i="79"/>
  <c r="Z68" i="79" s="1"/>
  <c r="AC68" i="79" s="1"/>
  <c r="AA68" i="79" s="1"/>
  <c r="Y57" i="79"/>
  <c r="Z57" i="79" s="1"/>
  <c r="AC57" i="79" s="1"/>
  <c r="AA57" i="79" s="1"/>
  <c r="W57" i="79"/>
  <c r="Y46" i="79"/>
  <c r="Z46" i="79" s="1"/>
  <c r="AC46" i="79" s="1"/>
  <c r="W46" i="79"/>
  <c r="Y10" i="79"/>
  <c r="Z10" i="79" s="1"/>
  <c r="AC10" i="79" s="1"/>
  <c r="W10" i="79"/>
  <c r="Y108" i="79"/>
  <c r="Z108" i="79" s="1"/>
  <c r="AC108" i="79" s="1"/>
  <c r="W108" i="79"/>
  <c r="Y107" i="79"/>
  <c r="Z107" i="79" s="1"/>
  <c r="AC107" i="79" s="1"/>
  <c r="W107" i="79"/>
  <c r="Y106" i="79"/>
  <c r="Z106" i="79" s="1"/>
  <c r="AC106" i="79" s="1"/>
  <c r="W106" i="79"/>
  <c r="Y105" i="79"/>
  <c r="Z105" i="79" s="1"/>
  <c r="AC105" i="79" s="1"/>
  <c r="W105" i="79"/>
  <c r="Y104" i="79"/>
  <c r="Z104" i="79" s="1"/>
  <c r="AC104" i="79" s="1"/>
  <c r="Y103" i="79"/>
  <c r="Z103" i="79" s="1"/>
  <c r="AC103" i="79" s="1"/>
  <c r="W103" i="79"/>
  <c r="Y102" i="79"/>
  <c r="Z102" i="79" s="1"/>
  <c r="AC102" i="79" s="1"/>
  <c r="W102" i="79"/>
  <c r="Y97" i="79"/>
  <c r="Z97" i="79" s="1"/>
  <c r="AC97" i="79" s="1"/>
  <c r="W97" i="79"/>
  <c r="Y96" i="79"/>
  <c r="Z96" i="79" s="1"/>
  <c r="AC96" i="79" s="1"/>
  <c r="W96" i="79"/>
  <c r="Y95" i="79"/>
  <c r="Z95" i="79" s="1"/>
  <c r="AC95" i="79" s="1"/>
  <c r="W95" i="79"/>
  <c r="Y94" i="79"/>
  <c r="Z94" i="79" s="1"/>
  <c r="AC94" i="79" s="1"/>
  <c r="W94" i="79"/>
  <c r="Y93" i="79"/>
  <c r="Z93" i="79" s="1"/>
  <c r="AC93" i="79" s="1"/>
  <c r="Y92" i="79"/>
  <c r="Z92" i="79" s="1"/>
  <c r="AC92" i="79" s="1"/>
  <c r="W92" i="79"/>
  <c r="Y91" i="79"/>
  <c r="Z91" i="79" s="1"/>
  <c r="AC91" i="79" s="1"/>
  <c r="W91" i="79"/>
  <c r="Y86" i="79"/>
  <c r="Z86" i="79" s="1"/>
  <c r="AC86" i="79" s="1"/>
  <c r="AB86" i="79" s="1"/>
  <c r="W86" i="79"/>
  <c r="Y85" i="79"/>
  <c r="Z85" i="79" s="1"/>
  <c r="AC85" i="79" s="1"/>
  <c r="W85" i="79"/>
  <c r="Y84" i="79"/>
  <c r="Z84" i="79" s="1"/>
  <c r="AC84" i="79" s="1"/>
  <c r="Q21" i="79" s="1"/>
  <c r="W84" i="79"/>
  <c r="Y83" i="79"/>
  <c r="Z83" i="79" s="1"/>
  <c r="AC83" i="79" s="1"/>
  <c r="W83" i="79"/>
  <c r="Y82" i="79"/>
  <c r="Z82" i="79" s="1"/>
  <c r="AC82" i="79" s="1"/>
  <c r="Y81" i="79"/>
  <c r="Z81" i="79" s="1"/>
  <c r="AC81" i="79" s="1"/>
  <c r="W81" i="79"/>
  <c r="Y80" i="79"/>
  <c r="Z80" i="79" s="1"/>
  <c r="AC80" i="79" s="1"/>
  <c r="W80" i="79"/>
  <c r="Y75" i="79"/>
  <c r="Z75" i="79" s="1"/>
  <c r="AC75" i="79" s="1"/>
  <c r="W75" i="79"/>
  <c r="Y74" i="79"/>
  <c r="Z74" i="79" s="1"/>
  <c r="AC74" i="79" s="1"/>
  <c r="O22" i="79" s="1"/>
  <c r="W74" i="79"/>
  <c r="Y73" i="79"/>
  <c r="Z73" i="79" s="1"/>
  <c r="AC73" i="79" s="1"/>
  <c r="O21" i="79" s="1"/>
  <c r="W73" i="79"/>
  <c r="Y72" i="79"/>
  <c r="Z72" i="79" s="1"/>
  <c r="AC72" i="79" s="1"/>
  <c r="W72" i="79"/>
  <c r="Y71" i="79"/>
  <c r="Z71" i="79" s="1"/>
  <c r="AC71" i="79" s="1"/>
  <c r="O19" i="79" s="1"/>
  <c r="Y70" i="79"/>
  <c r="Z70" i="79" s="1"/>
  <c r="AC70" i="79" s="1"/>
  <c r="O18" i="79" s="1"/>
  <c r="W70" i="79"/>
  <c r="Y69" i="79"/>
  <c r="Z69" i="79" s="1"/>
  <c r="AC69" i="79" s="1"/>
  <c r="O17" i="79" s="1"/>
  <c r="W69" i="79"/>
  <c r="Y64" i="79"/>
  <c r="Z64" i="79" s="1"/>
  <c r="AC64" i="79" s="1"/>
  <c r="W64" i="79"/>
  <c r="Y63" i="79"/>
  <c r="Z63" i="79" s="1"/>
  <c r="AC63" i="79" s="1"/>
  <c r="W63" i="79"/>
  <c r="Y62" i="79"/>
  <c r="Z62" i="79" s="1"/>
  <c r="AC62" i="79" s="1"/>
  <c r="W62" i="79"/>
  <c r="Y61" i="79"/>
  <c r="Z61" i="79" s="1"/>
  <c r="AC61" i="79" s="1"/>
  <c r="M20" i="79" s="1"/>
  <c r="W61" i="79"/>
  <c r="Y60" i="79"/>
  <c r="Z60" i="79" s="1"/>
  <c r="AC60" i="79" s="1"/>
  <c r="M19" i="79" s="1"/>
  <c r="Y59" i="79"/>
  <c r="Z59" i="79" s="1"/>
  <c r="AC59" i="79" s="1"/>
  <c r="AB59" i="79" s="1"/>
  <c r="W59" i="79"/>
  <c r="Y58" i="79"/>
  <c r="Z58" i="79" s="1"/>
  <c r="AC58" i="79" s="1"/>
  <c r="M17" i="79" s="1"/>
  <c r="W58" i="79"/>
  <c r="Y53" i="79"/>
  <c r="Z53" i="79" s="1"/>
  <c r="AC53" i="79" s="1"/>
  <c r="W53" i="79"/>
  <c r="Y52" i="79"/>
  <c r="Z52" i="79" s="1"/>
  <c r="AC52" i="79" s="1"/>
  <c r="W52" i="79"/>
  <c r="Y51" i="79"/>
  <c r="Z51" i="79" s="1"/>
  <c r="AC51" i="79" s="1"/>
  <c r="K21" i="79" s="1"/>
  <c r="W51" i="79"/>
  <c r="Y50" i="79"/>
  <c r="Z50" i="79" s="1"/>
  <c r="AC50" i="79" s="1"/>
  <c r="W50" i="79"/>
  <c r="Y49" i="79"/>
  <c r="Z49" i="79" s="1"/>
  <c r="AC49" i="79" s="1"/>
  <c r="Y48" i="79"/>
  <c r="Z48" i="79" s="1"/>
  <c r="AC48" i="79" s="1"/>
  <c r="W48" i="79"/>
  <c r="Y47" i="79"/>
  <c r="Z47" i="79" s="1"/>
  <c r="AC47" i="79" s="1"/>
  <c r="AA47" i="79" s="1"/>
  <c r="W47" i="79"/>
  <c r="Y42" i="79"/>
  <c r="Z42" i="79" s="1"/>
  <c r="AC42" i="79" s="1"/>
  <c r="I23" i="79" s="1"/>
  <c r="W42" i="79"/>
  <c r="Y41" i="79"/>
  <c r="Z41" i="79" s="1"/>
  <c r="AC41" i="79" s="1"/>
  <c r="I22" i="79" s="1"/>
  <c r="W41" i="79"/>
  <c r="Y40" i="79"/>
  <c r="Z40" i="79" s="1"/>
  <c r="AC40" i="79" s="1"/>
  <c r="AA40" i="79" s="1"/>
  <c r="W40" i="79"/>
  <c r="Y39" i="79"/>
  <c r="Z39" i="79" s="1"/>
  <c r="AC39" i="79" s="1"/>
  <c r="I20" i="79" s="1"/>
  <c r="W39" i="79"/>
  <c r="Y38" i="79"/>
  <c r="Z38" i="79" s="1"/>
  <c r="AC38" i="79" s="1"/>
  <c r="Y37" i="79"/>
  <c r="Z37" i="79" s="1"/>
  <c r="AC37" i="79" s="1"/>
  <c r="W37" i="79"/>
  <c r="Y36" i="79"/>
  <c r="Z36" i="79" s="1"/>
  <c r="AC36" i="79" s="1"/>
  <c r="W36" i="79"/>
  <c r="Y35" i="79"/>
  <c r="Z35" i="79" s="1"/>
  <c r="AC35" i="79" s="1"/>
  <c r="W35" i="79"/>
  <c r="Y31" i="79"/>
  <c r="Z31" i="79" s="1"/>
  <c r="AC31" i="79" s="1"/>
  <c r="W31" i="79"/>
  <c r="Y30" i="79"/>
  <c r="Z30" i="79" s="1"/>
  <c r="AC30" i="79" s="1"/>
  <c r="W30" i="79"/>
  <c r="Y29" i="79"/>
  <c r="Z29" i="79" s="1"/>
  <c r="AC29" i="79" s="1"/>
  <c r="W29" i="79"/>
  <c r="Y28" i="79"/>
  <c r="Z28" i="79" s="1"/>
  <c r="AC28" i="79" s="1"/>
  <c r="AB28" i="79" s="1"/>
  <c r="W28" i="79"/>
  <c r="Y27" i="79"/>
  <c r="Z27" i="79" s="1"/>
  <c r="AC27" i="79" s="1"/>
  <c r="G19" i="79" s="1"/>
  <c r="Y26" i="79"/>
  <c r="Z26" i="79" s="1"/>
  <c r="AC26" i="79" s="1"/>
  <c r="W26" i="79"/>
  <c r="Y25" i="79"/>
  <c r="Z25" i="79" s="1"/>
  <c r="AC25" i="79" s="1"/>
  <c r="AB25" i="79" s="1"/>
  <c r="W25" i="79"/>
  <c r="Y24" i="79"/>
  <c r="Z24" i="79" s="1"/>
  <c r="AC24" i="79" s="1"/>
  <c r="W24" i="79"/>
  <c r="Y20" i="79"/>
  <c r="Z20" i="79" s="1"/>
  <c r="AC20" i="79" s="1"/>
  <c r="W20" i="79"/>
  <c r="Y19" i="79"/>
  <c r="Z19" i="79" s="1"/>
  <c r="AC19" i="79" s="1"/>
  <c r="AB19" i="79" s="1"/>
  <c r="W19" i="79"/>
  <c r="Y18" i="79"/>
  <c r="Z18" i="79" s="1"/>
  <c r="AC18" i="79" s="1"/>
  <c r="E21" i="79" s="1"/>
  <c r="W18" i="79"/>
  <c r="Y17" i="79"/>
  <c r="Z17" i="79" s="1"/>
  <c r="AC17" i="79" s="1"/>
  <c r="W17" i="79"/>
  <c r="Y16" i="79"/>
  <c r="Z16" i="79" s="1"/>
  <c r="AC16" i="79" s="1"/>
  <c r="AB16" i="79" s="1"/>
  <c r="Y15" i="79"/>
  <c r="Z15" i="79" s="1"/>
  <c r="AC15" i="79" s="1"/>
  <c r="W15" i="79"/>
  <c r="Y14" i="79"/>
  <c r="Z14" i="79" s="1"/>
  <c r="AC14" i="79" s="1"/>
  <c r="W14" i="79"/>
  <c r="Y13" i="79"/>
  <c r="Z13" i="79" s="1"/>
  <c r="AC13" i="79" s="1"/>
  <c r="W13" i="79"/>
  <c r="R15" i="79"/>
  <c r="P15" i="79"/>
  <c r="N15" i="79"/>
  <c r="L15" i="79"/>
  <c r="J15" i="79"/>
  <c r="H15" i="79"/>
  <c r="F15" i="79"/>
  <c r="D15" i="79"/>
  <c r="B15" i="79"/>
  <c r="Y9" i="79"/>
  <c r="Z9" i="79" s="1"/>
  <c r="AC9" i="79" s="1"/>
  <c r="W9" i="79"/>
  <c r="Y8" i="79"/>
  <c r="Z8" i="79" s="1"/>
  <c r="AC8" i="79" s="1"/>
  <c r="AA8" i="79" s="1"/>
  <c r="W8" i="79"/>
  <c r="Y7" i="79"/>
  <c r="Z7" i="79" s="1"/>
  <c r="AC7" i="79" s="1"/>
  <c r="W7" i="79"/>
  <c r="Y6" i="79"/>
  <c r="Z6" i="79" s="1"/>
  <c r="AC6" i="79" s="1"/>
  <c r="AB6" i="79" s="1"/>
  <c r="Y5" i="79"/>
  <c r="Z5" i="79" s="1"/>
  <c r="AC5" i="79" s="1"/>
  <c r="W5" i="79"/>
  <c r="C5" i="79"/>
  <c r="Y4" i="79"/>
  <c r="Z4" i="79" s="1"/>
  <c r="AC4" i="79" s="1"/>
  <c r="AA4" i="79" s="1"/>
  <c r="W4" i="79"/>
  <c r="Y3" i="79"/>
  <c r="Z3" i="79" s="1"/>
  <c r="AC3" i="79" s="1"/>
  <c r="W3" i="79"/>
  <c r="X74" i="78"/>
  <c r="AA74" i="78" s="1"/>
  <c r="AD74" i="78" s="1"/>
  <c r="W74" i="78"/>
  <c r="X64" i="78"/>
  <c r="AA64" i="78" s="1"/>
  <c r="AD64" i="78" s="1"/>
  <c r="AB64" i="78" s="1"/>
  <c r="W64" i="78"/>
  <c r="X60" i="78"/>
  <c r="AA60" i="78" s="1"/>
  <c r="AD60" i="78" s="1"/>
  <c r="X59" i="78"/>
  <c r="AA59" i="78" s="1"/>
  <c r="AD59" i="78" s="1"/>
  <c r="X58" i="78"/>
  <c r="AA58" i="78" s="1"/>
  <c r="AD58" i="78" s="1"/>
  <c r="X57" i="78"/>
  <c r="AA57" i="78" s="1"/>
  <c r="AD57" i="78" s="1"/>
  <c r="X56" i="78"/>
  <c r="AA56" i="78" s="1"/>
  <c r="AD56" i="78" s="1"/>
  <c r="X55" i="78"/>
  <c r="AA55" i="78" s="1"/>
  <c r="AD55" i="78" s="1"/>
  <c r="X54" i="78"/>
  <c r="AA54" i="78" s="1"/>
  <c r="AD54" i="78" s="1"/>
  <c r="M12" i="78" s="1"/>
  <c r="X50" i="78"/>
  <c r="AA50" i="78" s="1"/>
  <c r="AD50" i="78" s="1"/>
  <c r="X49" i="78"/>
  <c r="AA49" i="78" s="1"/>
  <c r="AD49" i="78" s="1"/>
  <c r="X48" i="78"/>
  <c r="AA48" i="78" s="1"/>
  <c r="AD48" i="78" s="1"/>
  <c r="X47" i="78"/>
  <c r="AA47" i="78" s="1"/>
  <c r="AD47" i="78" s="1"/>
  <c r="X46" i="78"/>
  <c r="AA46" i="78" s="1"/>
  <c r="AD46" i="78" s="1"/>
  <c r="X45" i="78"/>
  <c r="AA45" i="78" s="1"/>
  <c r="AD45" i="78" s="1"/>
  <c r="X44" i="78"/>
  <c r="AA44" i="78" s="1"/>
  <c r="AD44" i="78" s="1"/>
  <c r="K12" i="78" s="1"/>
  <c r="X40" i="78"/>
  <c r="AA40" i="78" s="1"/>
  <c r="AD40" i="78" s="1"/>
  <c r="X39" i="78"/>
  <c r="AA39" i="78" s="1"/>
  <c r="AD39" i="78" s="1"/>
  <c r="X38" i="78"/>
  <c r="AA38" i="78" s="1"/>
  <c r="AD38" i="78" s="1"/>
  <c r="X37" i="78"/>
  <c r="AA37" i="78" s="1"/>
  <c r="AD37" i="78" s="1"/>
  <c r="X36" i="78"/>
  <c r="AA36" i="78" s="1"/>
  <c r="AD36" i="78" s="1"/>
  <c r="X35" i="78"/>
  <c r="AA35" i="78" s="1"/>
  <c r="AD35" i="78" s="1"/>
  <c r="X34" i="78"/>
  <c r="AA34" i="78" s="1"/>
  <c r="AD34" i="78" s="1"/>
  <c r="I12" i="78" s="1"/>
  <c r="X30" i="78"/>
  <c r="AA30" i="78" s="1"/>
  <c r="AD30" i="78" s="1"/>
  <c r="X29" i="78"/>
  <c r="AA29" i="78" s="1"/>
  <c r="AD29" i="78" s="1"/>
  <c r="X28" i="78"/>
  <c r="AA28" i="78" s="1"/>
  <c r="AD28" i="78" s="1"/>
  <c r="AC28" i="78" s="1"/>
  <c r="X27" i="78"/>
  <c r="AA27" i="78" s="1"/>
  <c r="AD27" i="78" s="1"/>
  <c r="X26" i="78"/>
  <c r="AA26" i="78" s="1"/>
  <c r="AD26" i="78" s="1"/>
  <c r="X25" i="78"/>
  <c r="AA25" i="78" s="1"/>
  <c r="AD25" i="78" s="1"/>
  <c r="X24" i="78"/>
  <c r="AA24" i="78" s="1"/>
  <c r="AD24" i="78" s="1"/>
  <c r="X20" i="78"/>
  <c r="AA20" i="78" s="1"/>
  <c r="AD20" i="78" s="1"/>
  <c r="X19" i="78"/>
  <c r="AA19" i="78" s="1"/>
  <c r="AD19" i="78" s="1"/>
  <c r="X18" i="78"/>
  <c r="AA18" i="78" s="1"/>
  <c r="AD18" i="78" s="1"/>
  <c r="X17" i="78"/>
  <c r="AA17" i="78" s="1"/>
  <c r="AD17" i="78" s="1"/>
  <c r="X16" i="78"/>
  <c r="AA16" i="78" s="1"/>
  <c r="AD16" i="78" s="1"/>
  <c r="X15" i="78"/>
  <c r="AA15" i="78" s="1"/>
  <c r="AD15" i="78" s="1"/>
  <c r="X14" i="78"/>
  <c r="AA14" i="78" s="1"/>
  <c r="AD14" i="78" s="1"/>
  <c r="X10" i="78"/>
  <c r="AA10" i="78" s="1"/>
  <c r="AD10" i="78" s="1"/>
  <c r="X9" i="78"/>
  <c r="AA9" i="78" s="1"/>
  <c r="AD9" i="78" s="1"/>
  <c r="X8" i="78"/>
  <c r="AA8" i="78" s="1"/>
  <c r="AD8" i="78" s="1"/>
  <c r="X7" i="78"/>
  <c r="AA7" i="78" s="1"/>
  <c r="AD7" i="78" s="1"/>
  <c r="X6" i="78"/>
  <c r="AA6" i="78" s="1"/>
  <c r="AD6" i="78" s="1"/>
  <c r="X5" i="78"/>
  <c r="AA5" i="78" s="1"/>
  <c r="AD5" i="78" s="1"/>
  <c r="X4" i="78"/>
  <c r="AA4" i="78" s="1"/>
  <c r="AD4" i="78" s="1"/>
  <c r="W54" i="78"/>
  <c r="W44" i="78"/>
  <c r="W34" i="78"/>
  <c r="W24" i="78"/>
  <c r="W80" i="78"/>
  <c r="W79" i="78"/>
  <c r="W78" i="78"/>
  <c r="W76" i="78"/>
  <c r="W75" i="78"/>
  <c r="W70" i="78"/>
  <c r="W69" i="78"/>
  <c r="W68" i="78"/>
  <c r="W66" i="78"/>
  <c r="W65" i="78"/>
  <c r="W60" i="78"/>
  <c r="W59" i="78"/>
  <c r="W58" i="78"/>
  <c r="W56" i="78"/>
  <c r="W55" i="78"/>
  <c r="W50" i="78"/>
  <c r="W49" i="78"/>
  <c r="W48" i="78"/>
  <c r="W46" i="78"/>
  <c r="W45" i="78"/>
  <c r="W40" i="78"/>
  <c r="W39" i="78"/>
  <c r="W38" i="78"/>
  <c r="W36" i="78"/>
  <c r="W35" i="78"/>
  <c r="W30" i="78"/>
  <c r="W29" i="78"/>
  <c r="W28" i="78"/>
  <c r="W26" i="78"/>
  <c r="W25" i="78"/>
  <c r="W20" i="78"/>
  <c r="W19" i="78"/>
  <c r="W18" i="78"/>
  <c r="W16" i="78"/>
  <c r="W15" i="78"/>
  <c r="W14" i="78"/>
  <c r="W10" i="78"/>
  <c r="W9" i="78"/>
  <c r="W8" i="78"/>
  <c r="W6" i="78"/>
  <c r="W5" i="78"/>
  <c r="W4" i="78"/>
  <c r="N11" i="78"/>
  <c r="L11" i="78"/>
  <c r="J11" i="78"/>
  <c r="H11" i="78"/>
  <c r="F11" i="78"/>
  <c r="D11" i="78"/>
  <c r="B11" i="78"/>
  <c r="C5" i="78"/>
  <c r="O16" i="79" l="1"/>
  <c r="N16" i="79" s="1"/>
  <c r="AA79" i="79"/>
  <c r="Q16" i="79"/>
  <c r="P16" i="79" s="1"/>
  <c r="AB90" i="79"/>
  <c r="S16" i="79"/>
  <c r="R16" i="79" s="1"/>
  <c r="M16" i="79"/>
  <c r="L16" i="79" s="1"/>
  <c r="L17" i="79"/>
  <c r="AB101" i="79"/>
  <c r="AA90" i="79"/>
  <c r="AB79" i="79"/>
  <c r="AB68" i="79"/>
  <c r="AB57" i="79"/>
  <c r="H20" i="79"/>
  <c r="AA46" i="79"/>
  <c r="K16" i="79"/>
  <c r="J16" i="79" s="1"/>
  <c r="AB51" i="79"/>
  <c r="D21" i="79"/>
  <c r="F19" i="79"/>
  <c r="AB46" i="79"/>
  <c r="N21" i="79"/>
  <c r="H22" i="79"/>
  <c r="N17" i="79"/>
  <c r="H23" i="79"/>
  <c r="AA10" i="79"/>
  <c r="AB10" i="79"/>
  <c r="C23" i="79"/>
  <c r="B23" i="79" s="1"/>
  <c r="AA105" i="79"/>
  <c r="AB105" i="79"/>
  <c r="AA26" i="79"/>
  <c r="G18" i="79"/>
  <c r="F18" i="79" s="1"/>
  <c r="AB26" i="79"/>
  <c r="AA82" i="79"/>
  <c r="AB82" i="79"/>
  <c r="AA63" i="79"/>
  <c r="AB63" i="79"/>
  <c r="L20" i="79"/>
  <c r="L19" i="79"/>
  <c r="N22" i="79"/>
  <c r="Q23" i="79"/>
  <c r="P23" i="79" s="1"/>
  <c r="N19" i="79"/>
  <c r="P21" i="79"/>
  <c r="N18" i="79"/>
  <c r="AB14" i="79"/>
  <c r="AA14" i="79"/>
  <c r="E17" i="79"/>
  <c r="D17" i="79" s="1"/>
  <c r="E20" i="79"/>
  <c r="D20" i="79" s="1"/>
  <c r="AA17" i="79"/>
  <c r="AB17" i="79"/>
  <c r="C22" i="79"/>
  <c r="B22" i="79" s="1"/>
  <c r="AB9" i="79"/>
  <c r="AA9" i="79"/>
  <c r="AA13" i="79"/>
  <c r="AB13" i="79"/>
  <c r="E16" i="79"/>
  <c r="D16" i="79" s="1"/>
  <c r="I17" i="79"/>
  <c r="H17" i="79" s="1"/>
  <c r="AB36" i="79"/>
  <c r="AA36" i="79"/>
  <c r="AB15" i="79"/>
  <c r="AA15" i="79"/>
  <c r="E18" i="79"/>
  <c r="D18" i="79" s="1"/>
  <c r="AA29" i="79"/>
  <c r="AB29" i="79"/>
  <c r="G21" i="79"/>
  <c r="F21" i="79" s="1"/>
  <c r="AB24" i="79"/>
  <c r="AA24" i="79"/>
  <c r="G16" i="79"/>
  <c r="F16" i="79" s="1"/>
  <c r="AB30" i="79"/>
  <c r="AA30" i="79"/>
  <c r="G22" i="79"/>
  <c r="F22" i="79" s="1"/>
  <c r="AA50" i="79"/>
  <c r="K20" i="79"/>
  <c r="J20" i="79" s="1"/>
  <c r="AB50" i="79"/>
  <c r="AA38" i="79"/>
  <c r="I19" i="79"/>
  <c r="H19" i="79" s="1"/>
  <c r="AB38" i="79"/>
  <c r="C18" i="79"/>
  <c r="B18" i="79" s="1"/>
  <c r="AB5" i="79"/>
  <c r="AA5" i="79"/>
  <c r="AB37" i="79"/>
  <c r="I18" i="79"/>
  <c r="H18" i="79" s="1"/>
  <c r="AA37" i="79"/>
  <c r="AB72" i="79"/>
  <c r="AA72" i="79"/>
  <c r="AB80" i="79"/>
  <c r="AA80" i="79"/>
  <c r="Q17" i="79"/>
  <c r="P17" i="79" s="1"/>
  <c r="Q20" i="79"/>
  <c r="P20" i="79" s="1"/>
  <c r="AB83" i="79"/>
  <c r="AA83" i="79"/>
  <c r="AB94" i="79"/>
  <c r="AA94" i="79"/>
  <c r="S20" i="79"/>
  <c r="R20" i="79" s="1"/>
  <c r="AB102" i="79"/>
  <c r="AA102" i="79"/>
  <c r="AB108" i="79"/>
  <c r="AA108" i="79"/>
  <c r="AA18" i="79"/>
  <c r="AA28" i="79"/>
  <c r="K19" i="79"/>
  <c r="J19" i="79" s="1"/>
  <c r="AA49" i="79"/>
  <c r="AB49" i="79"/>
  <c r="AA69" i="79"/>
  <c r="AB69" i="79"/>
  <c r="O20" i="79"/>
  <c r="N20" i="79" s="1"/>
  <c r="AB18" i="79"/>
  <c r="AB40" i="79"/>
  <c r="AB47" i="79"/>
  <c r="K17" i="79"/>
  <c r="J17" i="79" s="1"/>
  <c r="AA59" i="79"/>
  <c r="AB73" i="79"/>
  <c r="AA73" i="79"/>
  <c r="AB81" i="79"/>
  <c r="AA81" i="79"/>
  <c r="Q18" i="79"/>
  <c r="P18" i="79" s="1"/>
  <c r="AA84" i="79"/>
  <c r="AB84" i="79"/>
  <c r="AB95" i="79"/>
  <c r="S21" i="79"/>
  <c r="R21" i="79" s="1"/>
  <c r="AA95" i="79"/>
  <c r="AB103" i="79"/>
  <c r="AA103" i="79"/>
  <c r="AA48" i="79"/>
  <c r="K18" i="79"/>
  <c r="J18" i="79" s="1"/>
  <c r="AB62" i="79"/>
  <c r="AA62" i="79"/>
  <c r="M21" i="79"/>
  <c r="L21" i="79" s="1"/>
  <c r="AB106" i="79"/>
  <c r="AA106" i="79"/>
  <c r="AB96" i="79"/>
  <c r="AA96" i="79"/>
  <c r="S22" i="79"/>
  <c r="R22" i="79" s="1"/>
  <c r="AB3" i="79"/>
  <c r="C16" i="79"/>
  <c r="B16" i="79" s="1"/>
  <c r="AA3" i="79"/>
  <c r="C20" i="79"/>
  <c r="B20" i="79" s="1"/>
  <c r="AB7" i="79"/>
  <c r="AA7" i="79"/>
  <c r="AA19" i="79"/>
  <c r="E22" i="79"/>
  <c r="D22" i="79" s="1"/>
  <c r="AA27" i="79"/>
  <c r="AB27" i="79"/>
  <c r="AA39" i="79"/>
  <c r="AB41" i="79"/>
  <c r="AA41" i="79"/>
  <c r="AA53" i="79"/>
  <c r="AB53" i="79"/>
  <c r="K23" i="79"/>
  <c r="J23" i="79" s="1"/>
  <c r="AA61" i="79"/>
  <c r="AB61" i="79"/>
  <c r="AB71" i="79"/>
  <c r="AA71" i="79"/>
  <c r="AB85" i="79"/>
  <c r="AA85" i="79"/>
  <c r="Q22" i="79"/>
  <c r="P22" i="79" s="1"/>
  <c r="AA92" i="79"/>
  <c r="S18" i="79"/>
  <c r="R18" i="79" s="1"/>
  <c r="AB92" i="79"/>
  <c r="AA107" i="79"/>
  <c r="AB107" i="79"/>
  <c r="C17" i="79"/>
  <c r="B17" i="79" s="1"/>
  <c r="AB4" i="79"/>
  <c r="G23" i="79"/>
  <c r="F23" i="79" s="1"/>
  <c r="AA31" i="79"/>
  <c r="AB31" i="79"/>
  <c r="AB60" i="79"/>
  <c r="AA60" i="79"/>
  <c r="AB74" i="79"/>
  <c r="AA74" i="79"/>
  <c r="AB104" i="79"/>
  <c r="AA104" i="79"/>
  <c r="M18" i="79"/>
  <c r="L18" i="79" s="1"/>
  <c r="G20" i="79"/>
  <c r="F20" i="79" s="1"/>
  <c r="AA16" i="79"/>
  <c r="AA25" i="79"/>
  <c r="I16" i="79"/>
  <c r="H16" i="79" s="1"/>
  <c r="AB35" i="79"/>
  <c r="AB39" i="79"/>
  <c r="J21" i="79"/>
  <c r="AB75" i="79"/>
  <c r="O23" i="79"/>
  <c r="N23" i="79" s="1"/>
  <c r="AA75" i="79"/>
  <c r="AB93" i="79"/>
  <c r="AA93" i="79"/>
  <c r="S19" i="79"/>
  <c r="R19" i="79" s="1"/>
  <c r="AB97" i="79"/>
  <c r="AA97" i="79"/>
  <c r="S23" i="79"/>
  <c r="R23" i="79" s="1"/>
  <c r="C21" i="79"/>
  <c r="B21" i="79" s="1"/>
  <c r="AB8" i="79"/>
  <c r="AA6" i="79"/>
  <c r="C19" i="79"/>
  <c r="B19" i="79" s="1"/>
  <c r="AB52" i="79"/>
  <c r="AA52" i="79"/>
  <c r="K22" i="79"/>
  <c r="J22" i="79" s="1"/>
  <c r="AB91" i="79"/>
  <c r="S17" i="79"/>
  <c r="R17" i="79" s="1"/>
  <c r="AA91" i="79"/>
  <c r="I21" i="79"/>
  <c r="H21" i="79" s="1"/>
  <c r="AB70" i="79"/>
  <c r="AA70" i="79"/>
  <c r="G17" i="79"/>
  <c r="F17" i="79" s="1"/>
  <c r="E19" i="79"/>
  <c r="D19" i="79" s="1"/>
  <c r="AB20" i="79"/>
  <c r="AA20" i="79"/>
  <c r="E23" i="79"/>
  <c r="D23" i="79" s="1"/>
  <c r="AA35" i="79"/>
  <c r="AB42" i="79"/>
  <c r="AA42" i="79"/>
  <c r="AB48" i="79"/>
  <c r="AA51" i="79"/>
  <c r="AB58" i="79"/>
  <c r="AA58" i="79"/>
  <c r="AB64" i="79"/>
  <c r="AA64" i="79"/>
  <c r="M23" i="79"/>
  <c r="L23" i="79" s="1"/>
  <c r="Q19" i="79"/>
  <c r="P19" i="79" s="1"/>
  <c r="M22" i="79"/>
  <c r="L22" i="79" s="1"/>
  <c r="AA86" i="79"/>
  <c r="O12" i="78"/>
  <c r="N12" i="78" s="1"/>
  <c r="L12" i="78"/>
  <c r="J12" i="78"/>
  <c r="H12" i="78"/>
  <c r="AC64" i="78"/>
  <c r="AC74" i="78"/>
  <c r="AB74" i="78"/>
  <c r="X66" i="78"/>
  <c r="AA66" i="78" s="1"/>
  <c r="AD66" i="78" s="1"/>
  <c r="O14" i="78" s="1"/>
  <c r="N14" i="78" s="1"/>
  <c r="X77" i="78"/>
  <c r="AA77" i="78" s="1"/>
  <c r="AD77" i="78" s="1"/>
  <c r="AC77" i="78" s="1"/>
  <c r="X67" i="78"/>
  <c r="AA67" i="78" s="1"/>
  <c r="AD67" i="78" s="1"/>
  <c r="AC67" i="78" s="1"/>
  <c r="X78" i="78"/>
  <c r="AA78" i="78" s="1"/>
  <c r="AD78" i="78" s="1"/>
  <c r="AB78" i="78" s="1"/>
  <c r="X68" i="78"/>
  <c r="AA68" i="78" s="1"/>
  <c r="AD68" i="78" s="1"/>
  <c r="AC68" i="78" s="1"/>
  <c r="X79" i="78"/>
  <c r="AA79" i="78" s="1"/>
  <c r="AD79" i="78" s="1"/>
  <c r="AC79" i="78" s="1"/>
  <c r="X69" i="78"/>
  <c r="AA69" i="78" s="1"/>
  <c r="AD69" i="78" s="1"/>
  <c r="O17" i="78" s="1"/>
  <c r="N17" i="78" s="1"/>
  <c r="X80" i="78"/>
  <c r="AA80" i="78" s="1"/>
  <c r="AD80" i="78" s="1"/>
  <c r="AB80" i="78" s="1"/>
  <c r="X70" i="78"/>
  <c r="AA70" i="78" s="1"/>
  <c r="AD70" i="78" s="1"/>
  <c r="AC70" i="78" s="1"/>
  <c r="X75" i="78"/>
  <c r="AA75" i="78" s="1"/>
  <c r="AD75" i="78" s="1"/>
  <c r="AB75" i="78" s="1"/>
  <c r="X65" i="78"/>
  <c r="AA65" i="78" s="1"/>
  <c r="X76" i="78"/>
  <c r="AA76" i="78" s="1"/>
  <c r="AD76" i="78" s="1"/>
  <c r="AC76" i="78" s="1"/>
  <c r="AD65" i="78"/>
  <c r="AB65" i="78" s="1"/>
  <c r="AB54" i="78"/>
  <c r="AC54" i="78"/>
  <c r="AB44" i="78"/>
  <c r="AC44" i="78"/>
  <c r="AB34" i="78"/>
  <c r="AC34" i="78"/>
  <c r="G12" i="78"/>
  <c r="AB24" i="78"/>
  <c r="AC24" i="78"/>
  <c r="AB38" i="78"/>
  <c r="AC38" i="78"/>
  <c r="AB59" i="78"/>
  <c r="AC59" i="78"/>
  <c r="AB45" i="78"/>
  <c r="AC45" i="78"/>
  <c r="AB17" i="78"/>
  <c r="E15" i="78"/>
  <c r="D15" i="78" s="1"/>
  <c r="AC17" i="78"/>
  <c r="C15" i="78"/>
  <c r="B15" i="78" s="1"/>
  <c r="AB7" i="78"/>
  <c r="AC7" i="78"/>
  <c r="K16" i="78"/>
  <c r="J16" i="78" s="1"/>
  <c r="AC48" i="78"/>
  <c r="AB48" i="78"/>
  <c r="AC9" i="78"/>
  <c r="C17" i="78"/>
  <c r="B17" i="78" s="1"/>
  <c r="AB9" i="78"/>
  <c r="E13" i="78"/>
  <c r="D13" i="78" s="1"/>
  <c r="AC15" i="78"/>
  <c r="AB15" i="78"/>
  <c r="E16" i="78"/>
  <c r="D16" i="78" s="1"/>
  <c r="AC18" i="78"/>
  <c r="AB18" i="78"/>
  <c r="AC40" i="78"/>
  <c r="AB40" i="78"/>
  <c r="I18" i="78"/>
  <c r="H18" i="78" s="1"/>
  <c r="AC57" i="78"/>
  <c r="AB57" i="78"/>
  <c r="M15" i="78"/>
  <c r="L15" i="78" s="1"/>
  <c r="AC8" i="78"/>
  <c r="AB8" i="78"/>
  <c r="C16" i="78"/>
  <c r="B16" i="78" s="1"/>
  <c r="AC5" i="78"/>
  <c r="C13" i="78"/>
  <c r="B13" i="78" s="1"/>
  <c r="AB5" i="78"/>
  <c r="AC50" i="78"/>
  <c r="K18" i="78"/>
  <c r="J18" i="78" s="1"/>
  <c r="AB50" i="78"/>
  <c r="AC29" i="78"/>
  <c r="AB29" i="78"/>
  <c r="G17" i="78"/>
  <c r="F17" i="78" s="1"/>
  <c r="AC55" i="78"/>
  <c r="AB55" i="78"/>
  <c r="M13" i="78"/>
  <c r="L13" i="78" s="1"/>
  <c r="AC14" i="78"/>
  <c r="AB14" i="78"/>
  <c r="E12" i="78"/>
  <c r="AC30" i="78"/>
  <c r="AB30" i="78"/>
  <c r="G18" i="78"/>
  <c r="F18" i="78" s="1"/>
  <c r="AC49" i="78"/>
  <c r="AB49" i="78"/>
  <c r="K17" i="78"/>
  <c r="J17" i="78" s="1"/>
  <c r="C18" i="78"/>
  <c r="B18" i="78" s="1"/>
  <c r="AC10" i="78"/>
  <c r="AB10" i="78"/>
  <c r="AC16" i="78"/>
  <c r="AB16" i="78"/>
  <c r="E14" i="78"/>
  <c r="D14" i="78" s="1"/>
  <c r="E17" i="78"/>
  <c r="D17" i="78" s="1"/>
  <c r="AC19" i="78"/>
  <c r="AB19" i="78"/>
  <c r="AC46" i="78"/>
  <c r="K14" i="78"/>
  <c r="J14" i="78" s="1"/>
  <c r="AB46" i="78"/>
  <c r="M18" i="78"/>
  <c r="L18" i="78" s="1"/>
  <c r="AC60" i="78"/>
  <c r="AB60" i="78"/>
  <c r="AC25" i="78"/>
  <c r="AB25" i="78"/>
  <c r="G13" i="78"/>
  <c r="F13" i="78" s="1"/>
  <c r="E18" i="78"/>
  <c r="D18" i="78" s="1"/>
  <c r="AB20" i="78"/>
  <c r="AC20" i="78"/>
  <c r="AC36" i="78"/>
  <c r="AB36" i="78"/>
  <c r="I14" i="78"/>
  <c r="H14" i="78" s="1"/>
  <c r="AB4" i="78"/>
  <c r="C12" i="78"/>
  <c r="B12" i="78" s="1"/>
  <c r="AC4" i="78"/>
  <c r="AC26" i="78"/>
  <c r="AB26" i="78"/>
  <c r="G14" i="78"/>
  <c r="AC39" i="78"/>
  <c r="AB39" i="78"/>
  <c r="I17" i="78"/>
  <c r="H17" i="78" s="1"/>
  <c r="AB27" i="78"/>
  <c r="G15" i="78"/>
  <c r="F15" i="78" s="1"/>
  <c r="AC27" i="78"/>
  <c r="I15" i="78"/>
  <c r="H15" i="78" s="1"/>
  <c r="AC37" i="78"/>
  <c r="AB37" i="78"/>
  <c r="AC56" i="78"/>
  <c r="AB56" i="78"/>
  <c r="M14" i="78"/>
  <c r="L14" i="78" s="1"/>
  <c r="C14" i="78"/>
  <c r="B14" i="78" s="1"/>
  <c r="AC6" i="78"/>
  <c r="AB6" i="78"/>
  <c r="AC35" i="78"/>
  <c r="AB35" i="78"/>
  <c r="I13" i="78"/>
  <c r="K15" i="78"/>
  <c r="J15" i="78" s="1"/>
  <c r="AC47" i="78"/>
  <c r="AB47" i="78"/>
  <c r="M16" i="78"/>
  <c r="L16" i="78" s="1"/>
  <c r="AC58" i="78"/>
  <c r="AB58" i="78"/>
  <c r="G16" i="78"/>
  <c r="F16" i="78" s="1"/>
  <c r="I16" i="78"/>
  <c r="H16" i="78" s="1"/>
  <c r="K13" i="78"/>
  <c r="J13" i="78" s="1"/>
  <c r="AB28" i="78"/>
  <c r="M17" i="78"/>
  <c r="L17" i="78" s="1"/>
  <c r="D12" i="78" l="1"/>
  <c r="H13" i="78"/>
  <c r="F12" i="78"/>
  <c r="O18" i="78"/>
  <c r="N18" i="78" s="1"/>
  <c r="O15" i="78"/>
  <c r="N15" i="78" s="1"/>
  <c r="AB67" i="78"/>
  <c r="AC78" i="78"/>
  <c r="AB76" i="78"/>
  <c r="AC80" i="78"/>
  <c r="AC69" i="78"/>
  <c r="AB70" i="78"/>
  <c r="AB69" i="78"/>
  <c r="AC66" i="78"/>
  <c r="AC75" i="78"/>
  <c r="AB66" i="78"/>
  <c r="AB79" i="78"/>
  <c r="AB77" i="78"/>
  <c r="O16" i="78"/>
  <c r="N16" i="78" s="1"/>
  <c r="AB68" i="78"/>
  <c r="O13" i="78"/>
  <c r="AC65" i="78"/>
  <c r="F14" i="78"/>
  <c r="N13" i="78" l="1"/>
  <c r="R11" i="77" l="1"/>
  <c r="P11" i="77"/>
  <c r="N11" i="77"/>
  <c r="L11" i="77"/>
  <c r="J11" i="77"/>
  <c r="H11" i="77"/>
  <c r="D11" i="77"/>
  <c r="F11" i="77"/>
  <c r="B11" i="77"/>
  <c r="C5" i="77"/>
  <c r="W102" i="77"/>
  <c r="W101" i="77"/>
  <c r="W100" i="77"/>
  <c r="W99" i="77"/>
  <c r="W97" i="77"/>
  <c r="W96" i="77"/>
  <c r="Y102" i="77"/>
  <c r="Z102" i="77" s="1"/>
  <c r="Y101" i="77"/>
  <c r="Z101" i="77" s="1"/>
  <c r="Y100" i="77"/>
  <c r="Z100" i="77" s="1"/>
  <c r="Y99" i="77"/>
  <c r="Z99" i="77" s="1"/>
  <c r="Y98" i="77"/>
  <c r="Z98" i="77" s="1"/>
  <c r="Y97" i="77"/>
  <c r="Y96" i="77"/>
  <c r="Z96" i="77" s="1"/>
  <c r="W92" i="77"/>
  <c r="W91" i="77"/>
  <c r="W90" i="77"/>
  <c r="W89" i="77"/>
  <c r="W87" i="77"/>
  <c r="W86" i="77"/>
  <c r="W82" i="77"/>
  <c r="W81" i="77"/>
  <c r="W80" i="77"/>
  <c r="W79" i="77"/>
  <c r="W77" i="77"/>
  <c r="W76" i="77"/>
  <c r="Y92" i="77"/>
  <c r="Z92" i="77" s="1"/>
  <c r="Y91" i="77"/>
  <c r="Z91" i="77" s="1"/>
  <c r="Y90" i="77"/>
  <c r="Z90" i="77" s="1"/>
  <c r="AC90" i="77" s="1"/>
  <c r="AA90" i="77" s="1"/>
  <c r="Y89" i="77"/>
  <c r="Z89" i="77" s="1"/>
  <c r="Y88" i="77"/>
  <c r="Z88" i="77" s="1"/>
  <c r="Y87" i="77"/>
  <c r="Y86" i="77"/>
  <c r="Z86" i="77" s="1"/>
  <c r="Y82" i="77"/>
  <c r="Z82" i="77" s="1"/>
  <c r="Y81" i="77"/>
  <c r="Z81" i="77" s="1"/>
  <c r="AC81" i="77" s="1"/>
  <c r="AA81" i="77" s="1"/>
  <c r="Y80" i="77"/>
  <c r="Z80" i="77" s="1"/>
  <c r="Y79" i="77"/>
  <c r="Z79" i="77" s="1"/>
  <c r="Y78" i="77"/>
  <c r="Z78" i="77" s="1"/>
  <c r="Y77" i="77"/>
  <c r="Z77" i="77" s="1"/>
  <c r="Y76" i="77"/>
  <c r="Z76" i="77" s="1"/>
  <c r="W72" i="77"/>
  <c r="W71" i="77"/>
  <c r="W70" i="77"/>
  <c r="W69" i="77"/>
  <c r="W67" i="77"/>
  <c r="W66" i="77"/>
  <c r="Y72" i="77"/>
  <c r="Z72" i="77" s="1"/>
  <c r="Y71" i="77"/>
  <c r="Z71" i="77" s="1"/>
  <c r="AC71" i="77" s="1"/>
  <c r="AB71" i="77" s="1"/>
  <c r="Y70" i="77"/>
  <c r="Z70" i="77" s="1"/>
  <c r="Y69" i="77"/>
  <c r="Y68" i="77"/>
  <c r="Z68" i="77" s="1"/>
  <c r="Y67" i="77"/>
  <c r="Z67" i="77" s="1"/>
  <c r="Y66" i="77"/>
  <c r="Z66" i="77" s="1"/>
  <c r="W62" i="77"/>
  <c r="W61" i="77"/>
  <c r="W60" i="77"/>
  <c r="W59" i="77"/>
  <c r="W57" i="77"/>
  <c r="W56" i="77"/>
  <c r="Y62" i="77"/>
  <c r="Z62" i="77" s="1"/>
  <c r="Y61" i="77"/>
  <c r="Z61" i="77" s="1"/>
  <c r="AC61" i="77" s="1"/>
  <c r="AB61" i="77" s="1"/>
  <c r="Y60" i="77"/>
  <c r="Z60" i="77" s="1"/>
  <c r="Y59" i="77"/>
  <c r="Z59" i="77" s="1"/>
  <c r="Y58" i="77"/>
  <c r="Z58" i="77" s="1"/>
  <c r="Y57" i="77"/>
  <c r="Z57" i="77" s="1"/>
  <c r="Y56" i="77"/>
  <c r="Z56" i="77" s="1"/>
  <c r="W52" i="77"/>
  <c r="W51" i="77"/>
  <c r="W50" i="77"/>
  <c r="W49" i="77"/>
  <c r="W47" i="77"/>
  <c r="W46" i="77"/>
  <c r="Y52" i="77"/>
  <c r="Z52" i="77" s="1"/>
  <c r="Y51" i="77"/>
  <c r="Z51" i="77" s="1"/>
  <c r="Y50" i="77"/>
  <c r="Z50" i="77" s="1"/>
  <c r="Y49" i="77"/>
  <c r="Z49" i="77" s="1"/>
  <c r="Y48" i="77"/>
  <c r="Z48" i="77" s="1"/>
  <c r="Y47" i="77"/>
  <c r="Z47" i="77" s="1"/>
  <c r="Y46" i="77"/>
  <c r="Z46" i="77" s="1"/>
  <c r="W42" i="77"/>
  <c r="W41" i="77"/>
  <c r="W40" i="77"/>
  <c r="W39" i="77"/>
  <c r="W37" i="77"/>
  <c r="W36" i="77"/>
  <c r="W35" i="77"/>
  <c r="Y42" i="77"/>
  <c r="Z42" i="77" s="1"/>
  <c r="Y41" i="77"/>
  <c r="Z41" i="77" s="1"/>
  <c r="AC41" i="77" s="1"/>
  <c r="I18" i="77" s="1"/>
  <c r="Y40" i="77"/>
  <c r="Z40" i="77" s="1"/>
  <c r="Y39" i="77"/>
  <c r="Z39" i="77" s="1"/>
  <c r="AC39" i="77" s="1"/>
  <c r="I16" i="77" s="1"/>
  <c r="Y38" i="77"/>
  <c r="Z38" i="77" s="1"/>
  <c r="Y37" i="77"/>
  <c r="Z37" i="77" s="1"/>
  <c r="Y36" i="77"/>
  <c r="Z36" i="77" s="1"/>
  <c r="Y35" i="77"/>
  <c r="Z35" i="77" s="1"/>
  <c r="AC35" i="77" s="1"/>
  <c r="I12" i="77" s="1"/>
  <c r="Y31" i="77"/>
  <c r="Z31" i="77" s="1"/>
  <c r="AC31" i="77" s="1"/>
  <c r="AA31" i="77" s="1"/>
  <c r="Y30" i="77"/>
  <c r="Z30" i="77" s="1"/>
  <c r="AC30" i="77" s="1"/>
  <c r="AA30" i="77" s="1"/>
  <c r="Y29" i="77"/>
  <c r="Z29" i="77" s="1"/>
  <c r="AC29" i="77" s="1"/>
  <c r="AB29" i="77" s="1"/>
  <c r="Y28" i="77"/>
  <c r="Z28" i="77" s="1"/>
  <c r="AC28" i="77" s="1"/>
  <c r="G16" i="77" s="1"/>
  <c r="Y27" i="77"/>
  <c r="Z27" i="77" s="1"/>
  <c r="AC27" i="77" s="1"/>
  <c r="AA27" i="77" s="1"/>
  <c r="Y26" i="77"/>
  <c r="Z26" i="77" s="1"/>
  <c r="AC26" i="77" s="1"/>
  <c r="G14" i="77" s="1"/>
  <c r="Y25" i="77"/>
  <c r="Z25" i="77" s="1"/>
  <c r="AC25" i="77" s="1"/>
  <c r="AA25" i="77" s="1"/>
  <c r="Y24" i="77"/>
  <c r="Z24" i="77" s="1"/>
  <c r="AC24" i="77" s="1"/>
  <c r="G12" i="77" s="1"/>
  <c r="W31" i="77"/>
  <c r="W30" i="77"/>
  <c r="W29" i="77"/>
  <c r="W28" i="77"/>
  <c r="W26" i="77"/>
  <c r="W25" i="77"/>
  <c r="W24" i="77"/>
  <c r="Y20" i="77"/>
  <c r="Z20" i="77" s="1"/>
  <c r="AC20" i="77" s="1"/>
  <c r="E19" i="77" s="1"/>
  <c r="Y19" i="77"/>
  <c r="Z19" i="77" s="1"/>
  <c r="AC19" i="77" s="1"/>
  <c r="E18" i="77" s="1"/>
  <c r="Y18" i="77"/>
  <c r="Z18" i="77" s="1"/>
  <c r="AC18" i="77" s="1"/>
  <c r="E17" i="77" s="1"/>
  <c r="Y17" i="77"/>
  <c r="Z17" i="77" s="1"/>
  <c r="AC17" i="77" s="1"/>
  <c r="E16" i="77" s="1"/>
  <c r="Y16" i="77"/>
  <c r="Z16" i="77" s="1"/>
  <c r="AC16" i="77" s="1"/>
  <c r="E15" i="77" s="1"/>
  <c r="Y15" i="77"/>
  <c r="Z15" i="77" s="1"/>
  <c r="AC15" i="77" s="1"/>
  <c r="E14" i="77" s="1"/>
  <c r="Y14" i="77"/>
  <c r="Z14" i="77" s="1"/>
  <c r="AC14" i="77" s="1"/>
  <c r="E13" i="77" s="1"/>
  <c r="Y13" i="77"/>
  <c r="Z13" i="77" s="1"/>
  <c r="AC13" i="77" s="1"/>
  <c r="AB13" i="77" s="1"/>
  <c r="W20" i="77"/>
  <c r="W19" i="77"/>
  <c r="W18" i="77"/>
  <c r="W17" i="77"/>
  <c r="W15" i="77"/>
  <c r="W14" i="77"/>
  <c r="W13" i="77"/>
  <c r="Y9" i="77"/>
  <c r="Z9" i="77" s="1"/>
  <c r="AC9" i="77" s="1"/>
  <c r="AB9" i="77" s="1"/>
  <c r="Y8" i="77"/>
  <c r="Z8" i="77" s="1"/>
  <c r="AC8" i="77" s="1"/>
  <c r="C17" i="77" s="1"/>
  <c r="Y7" i="77"/>
  <c r="Z7" i="77" s="1"/>
  <c r="AC7" i="77" s="1"/>
  <c r="AA7" i="77" s="1"/>
  <c r="Y6" i="77"/>
  <c r="Z6" i="77" s="1"/>
  <c r="AC6" i="77" s="1"/>
  <c r="AA6" i="77" s="1"/>
  <c r="Y5" i="77"/>
  <c r="Z5" i="77" s="1"/>
  <c r="AC5" i="77" s="1"/>
  <c r="AA5" i="77" s="1"/>
  <c r="Y4" i="77"/>
  <c r="Z4" i="77" s="1"/>
  <c r="AC4" i="77" s="1"/>
  <c r="AA4" i="77" s="1"/>
  <c r="Y3" i="77"/>
  <c r="Z3" i="77" s="1"/>
  <c r="AC3" i="77" s="1"/>
  <c r="C12" i="77" s="1"/>
  <c r="W9" i="77"/>
  <c r="W8" i="77"/>
  <c r="W7" i="77"/>
  <c r="W5" i="77"/>
  <c r="W4" i="77"/>
  <c r="W3" i="77"/>
  <c r="B17" i="77" l="1"/>
  <c r="B12" i="77"/>
  <c r="H12" i="77"/>
  <c r="D14" i="77"/>
  <c r="D15" i="77"/>
  <c r="F16" i="77"/>
  <c r="H16" i="77"/>
  <c r="H18" i="77"/>
  <c r="D16" i="77"/>
  <c r="G15" i="77"/>
  <c r="F15" i="77" s="1"/>
  <c r="D17" i="77"/>
  <c r="D18" i="77"/>
  <c r="D19" i="77"/>
  <c r="F12" i="77"/>
  <c r="M18" i="77"/>
  <c r="L18" i="77" s="1"/>
  <c r="Q18" i="77"/>
  <c r="P18" i="77" s="1"/>
  <c r="D13" i="77"/>
  <c r="F14" i="77"/>
  <c r="G17" i="77"/>
  <c r="F17" i="77" s="1"/>
  <c r="C14" i="77"/>
  <c r="B14" i="77" s="1"/>
  <c r="G18" i="77"/>
  <c r="F18" i="77" s="1"/>
  <c r="G19" i="77"/>
  <c r="F19" i="77" s="1"/>
  <c r="S17" i="77"/>
  <c r="R17" i="77" s="1"/>
  <c r="E12" i="77"/>
  <c r="D12" i="77" s="1"/>
  <c r="G13" i="77"/>
  <c r="F13" i="77" s="1"/>
  <c r="O18" i="77"/>
  <c r="N18" i="77" s="1"/>
  <c r="C15" i="77"/>
  <c r="B15" i="77" s="1"/>
  <c r="C16" i="77"/>
  <c r="B16" i="77" s="1"/>
  <c r="C18" i="77"/>
  <c r="B18" i="77" s="1"/>
  <c r="C13" i="77"/>
  <c r="B13" i="77" s="1"/>
  <c r="AC72" i="77"/>
  <c r="Z87" i="77"/>
  <c r="AC87" i="77" s="1"/>
  <c r="S14" i="77" s="1"/>
  <c r="R14" i="77" s="1"/>
  <c r="AC98" i="77"/>
  <c r="AB98" i="77" s="1"/>
  <c r="AC59" i="77"/>
  <c r="AC99" i="77"/>
  <c r="AB99" i="77" s="1"/>
  <c r="AC60" i="77"/>
  <c r="Z69" i="77"/>
  <c r="AC69" i="77" s="1"/>
  <c r="O16" i="77" s="1"/>
  <c r="N16" i="77" s="1"/>
  <c r="AC80" i="77"/>
  <c r="AC48" i="77"/>
  <c r="K15" i="77" s="1"/>
  <c r="J15" i="77" s="1"/>
  <c r="Z97" i="77"/>
  <c r="AC97" i="77" s="1"/>
  <c r="AB97" i="77" s="1"/>
  <c r="AA71" i="77"/>
  <c r="AB81" i="77"/>
  <c r="AB90" i="77"/>
  <c r="AA61" i="77"/>
  <c r="AC102" i="77"/>
  <c r="AC101" i="77"/>
  <c r="AC100" i="77"/>
  <c r="AC96" i="77"/>
  <c r="AC92" i="77"/>
  <c r="S19" i="77" s="1"/>
  <c r="R19" i="77" s="1"/>
  <c r="AC91" i="77"/>
  <c r="S18" i="77" s="1"/>
  <c r="R18" i="77" s="1"/>
  <c r="AC89" i="77"/>
  <c r="S16" i="77" s="1"/>
  <c r="R16" i="77" s="1"/>
  <c r="AC88" i="77"/>
  <c r="S15" i="77" s="1"/>
  <c r="R15" i="77" s="1"/>
  <c r="AC86" i="77"/>
  <c r="S13" i="77" s="1"/>
  <c r="R13" i="77" s="1"/>
  <c r="AC82" i="77"/>
  <c r="Q19" i="77" s="1"/>
  <c r="P19" i="77" s="1"/>
  <c r="AC79" i="77"/>
  <c r="Q16" i="77" s="1"/>
  <c r="P16" i="77" s="1"/>
  <c r="AC78" i="77"/>
  <c r="Q15" i="77" s="1"/>
  <c r="P15" i="77" s="1"/>
  <c r="AC77" i="77"/>
  <c r="Q14" i="77" s="1"/>
  <c r="P14" i="77" s="1"/>
  <c r="AC76" i="77"/>
  <c r="Q13" i="77" s="1"/>
  <c r="P13" i="77" s="1"/>
  <c r="AC70" i="77"/>
  <c r="O17" i="77" s="1"/>
  <c r="N17" i="77" s="1"/>
  <c r="AC68" i="77"/>
  <c r="O15" i="77" s="1"/>
  <c r="N15" i="77" s="1"/>
  <c r="AC67" i="77"/>
  <c r="O14" i="77" s="1"/>
  <c r="N14" i="77" s="1"/>
  <c r="AC66" i="77"/>
  <c r="O13" i="77" s="1"/>
  <c r="N13" i="77" s="1"/>
  <c r="AC62" i="77"/>
  <c r="M19" i="77" s="1"/>
  <c r="L19" i="77" s="1"/>
  <c r="AC58" i="77"/>
  <c r="M15" i="77" s="1"/>
  <c r="L15" i="77" s="1"/>
  <c r="AC57" i="77"/>
  <c r="M14" i="77" s="1"/>
  <c r="L14" i="77" s="1"/>
  <c r="AC56" i="77"/>
  <c r="M13" i="77" s="1"/>
  <c r="L13" i="77" s="1"/>
  <c r="AC52" i="77"/>
  <c r="K19" i="77" s="1"/>
  <c r="J19" i="77" s="1"/>
  <c r="AC51" i="77"/>
  <c r="K18" i="77" s="1"/>
  <c r="J18" i="77" s="1"/>
  <c r="AC50" i="77"/>
  <c r="K17" i="77" s="1"/>
  <c r="J17" i="77" s="1"/>
  <c r="AC49" i="77"/>
  <c r="K16" i="77" s="1"/>
  <c r="J16" i="77" s="1"/>
  <c r="AC47" i="77"/>
  <c r="K14" i="77" s="1"/>
  <c r="J14" i="77" s="1"/>
  <c r="AC46" i="77"/>
  <c r="K13" i="77" s="1"/>
  <c r="J13" i="77" s="1"/>
  <c r="AA26" i="77"/>
  <c r="AB26" i="77"/>
  <c r="AA35" i="77"/>
  <c r="AB35" i="77"/>
  <c r="AB28" i="77"/>
  <c r="AA28" i="77"/>
  <c r="AA29" i="77"/>
  <c r="AB25" i="77"/>
  <c r="AC40" i="77"/>
  <c r="AC42" i="77"/>
  <c r="AC38" i="77"/>
  <c r="AC37" i="77"/>
  <c r="AC36" i="77"/>
  <c r="AB41" i="77"/>
  <c r="AA41" i="77"/>
  <c r="AB39" i="77"/>
  <c r="AA39" i="77"/>
  <c r="AB27" i="77"/>
  <c r="AB30" i="77"/>
  <c r="AB31" i="77"/>
  <c r="AA18" i="77"/>
  <c r="AB18" i="77"/>
  <c r="AB19" i="77"/>
  <c r="AA19" i="77"/>
  <c r="AB14" i="77"/>
  <c r="AA14" i="77"/>
  <c r="AB8" i="77"/>
  <c r="AA8" i="77"/>
  <c r="AB20" i="77"/>
  <c r="AA20" i="77"/>
  <c r="AB3" i="77"/>
  <c r="AA3" i="77"/>
  <c r="AA24" i="77"/>
  <c r="AB24" i="77"/>
  <c r="AA15" i="77"/>
  <c r="AB15" i="77"/>
  <c r="AA16" i="77"/>
  <c r="AB16" i="77"/>
  <c r="AB17" i="77"/>
  <c r="AA17" i="77"/>
  <c r="AA13" i="77"/>
  <c r="AA9" i="77"/>
  <c r="AB7" i="77"/>
  <c r="AB6" i="77"/>
  <c r="AB5" i="77"/>
  <c r="AB4" i="77"/>
  <c r="AA36" i="77" l="1"/>
  <c r="I13" i="77"/>
  <c r="H13" i="77" s="1"/>
  <c r="AA37" i="77"/>
  <c r="I14" i="77"/>
  <c r="H14" i="77" s="1"/>
  <c r="AB60" i="77"/>
  <c r="M17" i="77"/>
  <c r="L17" i="77" s="1"/>
  <c r="AA38" i="77"/>
  <c r="I15" i="77"/>
  <c r="H15" i="77" s="1"/>
  <c r="AB72" i="77"/>
  <c r="O19" i="77"/>
  <c r="N19" i="77" s="1"/>
  <c r="AA40" i="77"/>
  <c r="I17" i="77"/>
  <c r="H17" i="77" s="1"/>
  <c r="AB59" i="77"/>
  <c r="M16" i="77"/>
  <c r="L16" i="77" s="1"/>
  <c r="AA80" i="77"/>
  <c r="Q17" i="77"/>
  <c r="P17" i="77" s="1"/>
  <c r="AA42" i="77"/>
  <c r="I19" i="77"/>
  <c r="H19" i="77" s="1"/>
  <c r="AA98" i="77"/>
  <c r="AB80" i="77"/>
  <c r="AA72" i="77"/>
  <c r="AA60" i="77"/>
  <c r="AB40" i="77"/>
  <c r="AA99" i="77"/>
  <c r="AA69" i="77"/>
  <c r="AB69" i="77"/>
  <c r="AA87" i="77"/>
  <c r="AB87" i="77"/>
  <c r="AA97" i="77"/>
  <c r="AB48" i="77"/>
  <c r="AA48" i="77"/>
  <c r="AA59" i="77"/>
  <c r="AA47" i="77"/>
  <c r="AB47" i="77"/>
  <c r="AB79" i="77"/>
  <c r="AA79" i="77"/>
  <c r="AB49" i="77"/>
  <c r="AA49" i="77"/>
  <c r="AA82" i="77"/>
  <c r="AB82" i="77"/>
  <c r="AB50" i="77"/>
  <c r="AA50" i="77"/>
  <c r="AB67" i="77"/>
  <c r="AA67" i="77"/>
  <c r="AA86" i="77"/>
  <c r="AB86" i="77"/>
  <c r="AA102" i="77"/>
  <c r="AB102" i="77"/>
  <c r="AA62" i="77"/>
  <c r="AB62" i="77"/>
  <c r="AB100" i="77"/>
  <c r="AA100" i="77"/>
  <c r="AB66" i="77"/>
  <c r="AA66" i="77"/>
  <c r="AB101" i="77"/>
  <c r="AA101" i="77"/>
  <c r="AB51" i="77"/>
  <c r="AA51" i="77"/>
  <c r="AB68" i="77"/>
  <c r="AA68" i="77"/>
  <c r="AA88" i="77"/>
  <c r="AB88" i="77"/>
  <c r="AB52" i="77"/>
  <c r="AA52" i="77"/>
  <c r="AB89" i="77"/>
  <c r="AA89" i="77"/>
  <c r="AB91" i="77"/>
  <c r="AA91" i="77"/>
  <c r="AA76" i="77"/>
  <c r="AB76" i="77"/>
  <c r="AB57" i="77"/>
  <c r="AA57" i="77"/>
  <c r="AB77" i="77"/>
  <c r="AA77" i="77"/>
  <c r="AB92" i="77"/>
  <c r="AA92" i="77"/>
  <c r="AA70" i="77"/>
  <c r="AB70" i="77"/>
  <c r="AB56" i="77"/>
  <c r="AA56" i="77"/>
  <c r="AA46" i="77"/>
  <c r="AB46" i="77"/>
  <c r="AB58" i="77"/>
  <c r="AA58" i="77"/>
  <c r="AB78" i="77"/>
  <c r="AA78" i="77"/>
  <c r="AA96" i="77"/>
  <c r="AB96" i="77"/>
  <c r="AB42" i="77"/>
  <c r="AB38" i="77"/>
  <c r="AB37" i="77"/>
  <c r="AB36" i="77"/>
  <c r="AH7" i="50" l="1"/>
  <c r="AF7" i="50"/>
  <c r="AB7" i="50"/>
  <c r="Z7" i="50"/>
  <c r="V7" i="50"/>
  <c r="T7" i="50"/>
  <c r="P7" i="50"/>
  <c r="N7" i="50"/>
  <c r="J7" i="50"/>
  <c r="H7" i="50"/>
  <c r="G7" i="50"/>
  <c r="F7" i="50"/>
  <c r="AH9" i="13"/>
  <c r="AF9" i="13"/>
  <c r="V9" i="13"/>
  <c r="T9" i="13"/>
  <c r="P9" i="13"/>
  <c r="N9" i="13"/>
  <c r="J9" i="13"/>
  <c r="H9" i="13"/>
  <c r="G9" i="13"/>
  <c r="F9" i="13"/>
  <c r="AA15" i="32"/>
  <c r="AA14" i="32"/>
  <c r="AA13" i="32"/>
  <c r="AA12" i="32"/>
  <c r="AB11" i="32"/>
  <c r="Z11" i="32"/>
  <c r="AA11" i="32" s="1"/>
  <c r="M15" i="32"/>
  <c r="L15" i="32"/>
  <c r="K15" i="32"/>
  <c r="M14" i="32"/>
  <c r="L14" i="32"/>
  <c r="K14" i="32"/>
  <c r="M13" i="32"/>
  <c r="K13" i="32"/>
  <c r="L13" i="32" s="1"/>
  <c r="M12" i="32"/>
  <c r="L12" i="32"/>
  <c r="K12" i="32"/>
  <c r="S15" i="32"/>
  <c r="Q15" i="32"/>
  <c r="R15" i="32" s="1"/>
  <c r="S14" i="32"/>
  <c r="Q14" i="32"/>
  <c r="R14" i="32" s="1"/>
  <c r="S13" i="32"/>
  <c r="Q13" i="32"/>
  <c r="R13" i="32" s="1"/>
  <c r="S12" i="32"/>
  <c r="Q12" i="32"/>
  <c r="R12" i="32" s="1"/>
  <c r="Y15" i="32"/>
  <c r="Y14" i="32"/>
  <c r="Y13" i="32"/>
  <c r="Y12" i="32"/>
  <c r="W15" i="32"/>
  <c r="X15" i="32" s="1"/>
  <c r="W14" i="32"/>
  <c r="X14" i="32" s="1"/>
  <c r="W13" i="32"/>
  <c r="X13" i="32" s="1"/>
  <c r="W12" i="32"/>
  <c r="X12" i="32" s="1"/>
  <c r="V11" i="32"/>
  <c r="Y11" i="32" s="1"/>
  <c r="T11" i="32"/>
  <c r="W11" i="32" s="1"/>
  <c r="X11" i="32" s="1"/>
  <c r="O15" i="32"/>
  <c r="O14" i="32"/>
  <c r="O13" i="32"/>
  <c r="O12" i="32"/>
  <c r="P11" i="32"/>
  <c r="S11" i="32" s="1"/>
  <c r="N11" i="32"/>
  <c r="Q11" i="32" s="1"/>
  <c r="R11" i="32" s="1"/>
  <c r="I15" i="32"/>
  <c r="I14" i="32"/>
  <c r="I13" i="32"/>
  <c r="I12" i="32"/>
  <c r="J11" i="32"/>
  <c r="M11" i="32" s="1"/>
  <c r="H11" i="32"/>
  <c r="I11" i="32" s="1"/>
  <c r="G11" i="32"/>
  <c r="F11" i="32"/>
  <c r="K11" i="32" l="1"/>
  <c r="L11" i="32" s="1"/>
  <c r="O11" i="32"/>
  <c r="J20" i="25"/>
  <c r="J20" i="24"/>
  <c r="J20" i="22"/>
  <c r="J20" i="21"/>
  <c r="J20" i="23"/>
  <c r="AA13" i="18" l="1"/>
  <c r="AA12" i="18"/>
  <c r="AB11" i="18"/>
  <c r="Z11" i="18"/>
  <c r="AA11" i="18" s="1"/>
  <c r="V11" i="18"/>
  <c r="T11" i="18"/>
  <c r="P11" i="18"/>
  <c r="N11" i="18"/>
  <c r="J11" i="18"/>
  <c r="H11" i="18"/>
  <c r="G11" i="18"/>
  <c r="F11" i="18"/>
  <c r="AB7" i="57" l="1"/>
  <c r="Z7" i="57"/>
  <c r="V7" i="57"/>
  <c r="T7" i="57"/>
  <c r="P7" i="57"/>
  <c r="N7" i="57"/>
  <c r="J7" i="57"/>
  <c r="H7" i="57"/>
  <c r="G7" i="57"/>
  <c r="F7" i="57"/>
  <c r="AC6" i="75" l="1"/>
  <c r="AA6" i="75"/>
  <c r="AB6" i="75" s="1"/>
  <c r="H6" i="75"/>
  <c r="G6" i="75"/>
  <c r="W6" i="75"/>
  <c r="Z6" i="75" s="1"/>
  <c r="U6" i="75"/>
  <c r="X6" i="75" s="1"/>
  <c r="Y6" i="75" s="1"/>
  <c r="Q6" i="75"/>
  <c r="T6" i="75" s="1"/>
  <c r="O6" i="75"/>
  <c r="P6" i="75" s="1"/>
  <c r="K6" i="75"/>
  <c r="N6" i="75" s="1"/>
  <c r="I6" i="75"/>
  <c r="L6" i="75" s="1"/>
  <c r="M6" i="75" s="1"/>
  <c r="F6" i="75"/>
  <c r="C15" i="75"/>
  <c r="D10" i="75" s="1"/>
  <c r="D14" i="75"/>
  <c r="C13" i="75"/>
  <c r="B13" i="75" s="1"/>
  <c r="D12" i="75"/>
  <c r="AB10" i="75"/>
  <c r="Z10" i="75"/>
  <c r="X10" i="75"/>
  <c r="Y10" i="75" s="1"/>
  <c r="V10" i="75"/>
  <c r="T10" i="75"/>
  <c r="R10" i="75"/>
  <c r="S10" i="75" s="1"/>
  <c r="P10" i="75"/>
  <c r="N10" i="75"/>
  <c r="L10" i="75"/>
  <c r="M10" i="75" s="1"/>
  <c r="J10" i="75"/>
  <c r="AB9" i="75"/>
  <c r="Z9" i="75"/>
  <c r="X9" i="75"/>
  <c r="Y9" i="75" s="1"/>
  <c r="V9" i="75"/>
  <c r="T9" i="75"/>
  <c r="R9" i="75"/>
  <c r="S9" i="75" s="1"/>
  <c r="P9" i="75"/>
  <c r="N9" i="75"/>
  <c r="L9" i="75"/>
  <c r="M9" i="75" s="1"/>
  <c r="J9" i="75"/>
  <c r="AB8" i="75"/>
  <c r="Z8" i="75"/>
  <c r="X8" i="75"/>
  <c r="Y8" i="75" s="1"/>
  <c r="V8" i="75"/>
  <c r="T8" i="75"/>
  <c r="R8" i="75"/>
  <c r="S8" i="75" s="1"/>
  <c r="P8" i="75"/>
  <c r="N8" i="75"/>
  <c r="L8" i="75"/>
  <c r="M8" i="75" s="1"/>
  <c r="J8" i="75"/>
  <c r="D8" i="75"/>
  <c r="C8" i="75"/>
  <c r="AB7" i="75"/>
  <c r="Z7" i="75"/>
  <c r="X7" i="75"/>
  <c r="Y7" i="75" s="1"/>
  <c r="V7" i="75"/>
  <c r="T7" i="75"/>
  <c r="R7" i="75"/>
  <c r="S7" i="75" s="1"/>
  <c r="P7" i="75"/>
  <c r="N7" i="75"/>
  <c r="L7" i="75"/>
  <c r="M7" i="75" s="1"/>
  <c r="J7" i="75"/>
  <c r="B6" i="75"/>
  <c r="AI7" i="73"/>
  <c r="AG7" i="73"/>
  <c r="W7" i="73"/>
  <c r="U7" i="73"/>
  <c r="Q7" i="73"/>
  <c r="O7" i="73"/>
  <c r="K7" i="73"/>
  <c r="I7" i="73"/>
  <c r="H7" i="73"/>
  <c r="G7" i="73"/>
  <c r="F7" i="73"/>
  <c r="AC7" i="70"/>
  <c r="AA7" i="70"/>
  <c r="W7" i="70"/>
  <c r="U7" i="70"/>
  <c r="Q7" i="70"/>
  <c r="O7" i="70"/>
  <c r="K7" i="70"/>
  <c r="I7" i="70"/>
  <c r="H7" i="70"/>
  <c r="G7" i="70"/>
  <c r="F7" i="70"/>
  <c r="AC7" i="71"/>
  <c r="AA7" i="71"/>
  <c r="W7" i="71"/>
  <c r="U7" i="71"/>
  <c r="Q7" i="71"/>
  <c r="O7" i="71"/>
  <c r="K7" i="71"/>
  <c r="I7" i="71"/>
  <c r="H7" i="71"/>
  <c r="G7" i="71"/>
  <c r="F7" i="71"/>
  <c r="E13" i="75" l="1"/>
  <c r="D13" i="75" s="1"/>
  <c r="R6" i="75"/>
  <c r="S6" i="75" s="1"/>
  <c r="J6" i="75"/>
  <c r="C6" i="75"/>
  <c r="D6" i="75"/>
  <c r="V6" i="75"/>
  <c r="B7" i="75"/>
  <c r="B8" i="75"/>
  <c r="B9" i="75"/>
  <c r="B10" i="75"/>
  <c r="C7" i="75"/>
  <c r="C9" i="75"/>
  <c r="C10" i="75"/>
  <c r="D7" i="75"/>
  <c r="D9" i="75"/>
  <c r="D14" i="54" l="1"/>
  <c r="D12" i="54"/>
  <c r="D14" i="73"/>
  <c r="D12" i="73"/>
  <c r="D14" i="71"/>
  <c r="D12" i="71"/>
  <c r="D14" i="70"/>
  <c r="D12" i="70"/>
  <c r="D14" i="69"/>
  <c r="D12" i="69"/>
  <c r="D14" i="67"/>
  <c r="D12" i="67"/>
  <c r="D14" i="66"/>
  <c r="D12" i="66"/>
  <c r="D14" i="65"/>
  <c r="D12" i="65"/>
  <c r="D14" i="58"/>
  <c r="D12" i="58"/>
  <c r="D14" i="57"/>
  <c r="D12" i="57"/>
  <c r="D14" i="56"/>
  <c r="D12" i="56"/>
  <c r="D14" i="63"/>
  <c r="D12" i="63"/>
  <c r="D14" i="62"/>
  <c r="D12" i="62"/>
  <c r="D14" i="61"/>
  <c r="D12" i="61"/>
  <c r="D14" i="60"/>
  <c r="D12" i="60"/>
  <c r="D14" i="59"/>
  <c r="D12" i="59"/>
  <c r="Y10" i="25"/>
  <c r="W10" i="25"/>
  <c r="X10" i="25" s="1"/>
  <c r="Y9" i="25"/>
  <c r="W9" i="25"/>
  <c r="X9" i="25" s="1"/>
  <c r="Y8" i="25"/>
  <c r="W8" i="25"/>
  <c r="X8" i="25" s="1"/>
  <c r="Y7" i="25"/>
  <c r="W7" i="25"/>
  <c r="X7" i="25" s="1"/>
  <c r="S10" i="25"/>
  <c r="Q10" i="25"/>
  <c r="R10" i="25" s="1"/>
  <c r="S9" i="25"/>
  <c r="Q9" i="25"/>
  <c r="R9" i="25" s="1"/>
  <c r="S8" i="25"/>
  <c r="Q8" i="25"/>
  <c r="R8" i="25" s="1"/>
  <c r="S7" i="25"/>
  <c r="Q7" i="25"/>
  <c r="R7" i="25" s="1"/>
  <c r="M10" i="25"/>
  <c r="K10" i="25"/>
  <c r="L10" i="25" s="1"/>
  <c r="M9" i="25"/>
  <c r="K9" i="25"/>
  <c r="L9" i="25" s="1"/>
  <c r="M8" i="25"/>
  <c r="K8" i="25"/>
  <c r="L8" i="25" s="1"/>
  <c r="M7" i="25"/>
  <c r="K7" i="25"/>
  <c r="L7" i="25" s="1"/>
  <c r="D10" i="25"/>
  <c r="C10" i="25"/>
  <c r="B10" i="25"/>
  <c r="D9" i="25"/>
  <c r="C9" i="25"/>
  <c r="B9" i="25"/>
  <c r="D8" i="25"/>
  <c r="C8" i="25"/>
  <c r="B8" i="25"/>
  <c r="D7" i="25"/>
  <c r="C7" i="25"/>
  <c r="B7" i="25"/>
  <c r="D6" i="25"/>
  <c r="C6" i="25"/>
  <c r="B6" i="25"/>
  <c r="B18" i="25"/>
  <c r="G15" i="25" s="1"/>
  <c r="C13" i="25"/>
  <c r="B13" i="25" s="1"/>
  <c r="C13" i="23"/>
  <c r="C13" i="22"/>
  <c r="C13" i="21"/>
  <c r="B13" i="21" s="1"/>
  <c r="C13" i="24"/>
  <c r="Y10" i="24"/>
  <c r="W10" i="24"/>
  <c r="X10" i="24" s="1"/>
  <c r="Y9" i="24"/>
  <c r="W9" i="24"/>
  <c r="X9" i="24" s="1"/>
  <c r="Y8" i="24"/>
  <c r="W8" i="24"/>
  <c r="X8" i="24" s="1"/>
  <c r="S10" i="24"/>
  <c r="Q10" i="24"/>
  <c r="R10" i="24" s="1"/>
  <c r="S9" i="24"/>
  <c r="Q9" i="24"/>
  <c r="R9" i="24" s="1"/>
  <c r="S8" i="24"/>
  <c r="Q8" i="24"/>
  <c r="R8" i="24" s="1"/>
  <c r="M10" i="24"/>
  <c r="K10" i="24"/>
  <c r="L10" i="24" s="1"/>
  <c r="M9" i="24"/>
  <c r="K9" i="24"/>
  <c r="L9" i="24" s="1"/>
  <c r="M8" i="24"/>
  <c r="K8" i="24"/>
  <c r="L8" i="24" s="1"/>
  <c r="D10" i="24"/>
  <c r="C10" i="24"/>
  <c r="B10" i="24"/>
  <c r="D9" i="24"/>
  <c r="C9" i="24"/>
  <c r="B9" i="24"/>
  <c r="D8" i="24"/>
  <c r="C8" i="24"/>
  <c r="B8" i="24"/>
  <c r="D7" i="24"/>
  <c r="C7" i="24"/>
  <c r="B7" i="24"/>
  <c r="D6" i="24"/>
  <c r="C6" i="24"/>
  <c r="B6" i="24"/>
  <c r="B18" i="24"/>
  <c r="G15" i="24" s="1"/>
  <c r="Y10" i="23"/>
  <c r="W10" i="23"/>
  <c r="X10" i="23" s="1"/>
  <c r="Y9" i="23"/>
  <c r="W9" i="23"/>
  <c r="X9" i="23" s="1"/>
  <c r="S10" i="23"/>
  <c r="Q10" i="23"/>
  <c r="R10" i="23" s="1"/>
  <c r="S9" i="23"/>
  <c r="Q9" i="23"/>
  <c r="R9" i="23" s="1"/>
  <c r="M10" i="23"/>
  <c r="K10" i="23"/>
  <c r="L10" i="23" s="1"/>
  <c r="M9" i="23"/>
  <c r="K9" i="23"/>
  <c r="L9" i="23" s="1"/>
  <c r="D10" i="23"/>
  <c r="C10" i="23"/>
  <c r="B10" i="23"/>
  <c r="D9" i="23"/>
  <c r="C9" i="23"/>
  <c r="B9" i="23"/>
  <c r="D8" i="23"/>
  <c r="C8" i="23"/>
  <c r="B8" i="23"/>
  <c r="D7" i="23"/>
  <c r="C7" i="23"/>
  <c r="B7" i="23"/>
  <c r="D6" i="23"/>
  <c r="C6" i="23"/>
  <c r="B6" i="23"/>
  <c r="B18" i="23"/>
  <c r="G15" i="23" s="1"/>
  <c r="D10" i="22"/>
  <c r="C10" i="22"/>
  <c r="B10" i="22"/>
  <c r="D9" i="22"/>
  <c r="C9" i="22"/>
  <c r="B9" i="22"/>
  <c r="D8" i="22"/>
  <c r="C8" i="22"/>
  <c r="B8" i="22"/>
  <c r="D7" i="22"/>
  <c r="C7" i="22"/>
  <c r="B7" i="22"/>
  <c r="D6" i="22"/>
  <c r="C6" i="22"/>
  <c r="B6" i="22"/>
  <c r="Y10" i="22"/>
  <c r="W10" i="22"/>
  <c r="X10" i="22" s="1"/>
  <c r="Y9" i="22"/>
  <c r="W9" i="22"/>
  <c r="X9" i="22" s="1"/>
  <c r="Y8" i="22"/>
  <c r="W8" i="22"/>
  <c r="X8" i="22" s="1"/>
  <c r="Y7" i="22"/>
  <c r="W7" i="22"/>
  <c r="X7" i="22" s="1"/>
  <c r="Y6" i="22"/>
  <c r="W6" i="22"/>
  <c r="X6" i="22" s="1"/>
  <c r="S10" i="22"/>
  <c r="Q10" i="22"/>
  <c r="R10" i="22" s="1"/>
  <c r="S9" i="22"/>
  <c r="Q9" i="22"/>
  <c r="R9" i="22" s="1"/>
  <c r="S8" i="22"/>
  <c r="Q8" i="22"/>
  <c r="R8" i="22" s="1"/>
  <c r="S7" i="22"/>
  <c r="Q7" i="22"/>
  <c r="R7" i="22" s="1"/>
  <c r="S6" i="22"/>
  <c r="Q6" i="22"/>
  <c r="R6" i="22" s="1"/>
  <c r="M10" i="22"/>
  <c r="K10" i="22"/>
  <c r="L10" i="22" s="1"/>
  <c r="M9" i="22"/>
  <c r="K9" i="22"/>
  <c r="L9" i="22" s="1"/>
  <c r="M8" i="22"/>
  <c r="K8" i="22"/>
  <c r="L8" i="22" s="1"/>
  <c r="M7" i="22"/>
  <c r="K7" i="22"/>
  <c r="L7" i="22" s="1"/>
  <c r="M6" i="22"/>
  <c r="K6" i="22"/>
  <c r="L6" i="22" s="1"/>
  <c r="B18" i="22"/>
  <c r="G15" i="22" s="1"/>
  <c r="B18" i="21"/>
  <c r="G15" i="21" s="1"/>
  <c r="D15" i="29"/>
  <c r="D14" i="47"/>
  <c r="D12" i="47"/>
  <c r="D14" i="45"/>
  <c r="D12" i="45"/>
  <c r="D14" i="43"/>
  <c r="D12" i="43"/>
  <c r="D14" i="41"/>
  <c r="D12" i="41"/>
  <c r="D14" i="39"/>
  <c r="D12" i="39"/>
  <c r="D14" i="36"/>
  <c r="D12" i="36"/>
  <c r="D14" i="46"/>
  <c r="D12" i="46"/>
  <c r="D14" i="44"/>
  <c r="D12" i="44"/>
  <c r="D14" i="42"/>
  <c r="D12" i="42"/>
  <c r="D14" i="40"/>
  <c r="D12" i="40"/>
  <c r="D14" i="38"/>
  <c r="D12" i="38"/>
  <c r="D14" i="34"/>
  <c r="D12" i="34"/>
  <c r="D14" i="33"/>
  <c r="D12" i="33"/>
  <c r="D14" i="32"/>
  <c r="D12" i="32"/>
  <c r="D14" i="31"/>
  <c r="D12" i="31"/>
  <c r="D14" i="30"/>
  <c r="D12" i="30"/>
  <c r="D14" i="29"/>
  <c r="D12" i="29"/>
  <c r="D14" i="19"/>
  <c r="D12" i="19"/>
  <c r="D14" i="18"/>
  <c r="D12" i="18"/>
  <c r="D14" i="17"/>
  <c r="D12" i="17"/>
  <c r="D14" i="2"/>
  <c r="D12" i="2"/>
  <c r="C13" i="2"/>
  <c r="C15" i="2"/>
  <c r="S1" i="20"/>
  <c r="E13" i="29" l="1"/>
  <c r="D13" i="29" s="1"/>
  <c r="E13" i="33"/>
  <c r="D13" i="33" s="1"/>
  <c r="E13" i="42"/>
  <c r="D13" i="42" s="1"/>
  <c r="E13" i="39"/>
  <c r="D13" i="39" s="1"/>
  <c r="E13" i="47"/>
  <c r="D13" i="47" s="1"/>
  <c r="E13" i="19"/>
  <c r="D13" i="19" s="1"/>
  <c r="E13" i="32"/>
  <c r="D13" i="32" s="1"/>
  <c r="E13" i="40"/>
  <c r="D13" i="40" s="1"/>
  <c r="E13" i="36"/>
  <c r="D13" i="36" s="1"/>
  <c r="E13" i="45"/>
  <c r="D13" i="45" s="1"/>
  <c r="E13" i="61"/>
  <c r="D13" i="61" s="1"/>
  <c r="E13" i="57"/>
  <c r="D13" i="57" s="1"/>
  <c r="E13" i="67"/>
  <c r="D13" i="67" s="1"/>
  <c r="E13" i="73"/>
  <c r="D13" i="73" s="1"/>
  <c r="E13" i="31"/>
  <c r="D13" i="31" s="1"/>
  <c r="E13" i="38"/>
  <c r="D13" i="38" s="1"/>
  <c r="E13" i="46"/>
  <c r="D13" i="46" s="1"/>
  <c r="E13" i="43"/>
  <c r="D13" i="43" s="1"/>
  <c r="E13" i="60"/>
  <c r="D13" i="60" s="1"/>
  <c r="E13" i="56"/>
  <c r="D13" i="56" s="1"/>
  <c r="E13" i="66"/>
  <c r="D13" i="66" s="1"/>
  <c r="E13" i="71"/>
  <c r="D13" i="71" s="1"/>
  <c r="E13" i="62"/>
  <c r="D13" i="62" s="1"/>
  <c r="E13" i="58"/>
  <c r="D13" i="58" s="1"/>
  <c r="E13" i="69"/>
  <c r="D13" i="69" s="1"/>
  <c r="E13" i="17"/>
  <c r="D13" i="17" s="1"/>
  <c r="E13" i="30"/>
  <c r="D13" i="30" s="1"/>
  <c r="E13" i="44"/>
  <c r="D13" i="44" s="1"/>
  <c r="E13" i="41"/>
  <c r="D13" i="41" s="1"/>
  <c r="E13" i="59"/>
  <c r="D13" i="59" s="1"/>
  <c r="E13" i="63"/>
  <c r="D13" i="63" s="1"/>
  <c r="E13" i="65"/>
  <c r="D13" i="65" s="1"/>
  <c r="E13" i="70"/>
  <c r="D13" i="70" s="1"/>
  <c r="E13" i="54"/>
  <c r="D13" i="54" s="1"/>
  <c r="E13" i="18"/>
  <c r="D13" i="18" s="1"/>
  <c r="E13" i="34"/>
  <c r="D13" i="34" s="1"/>
  <c r="E13" i="2"/>
  <c r="D13" i="2" s="1"/>
  <c r="O3" i="1" l="1"/>
  <c r="I6" i="59"/>
  <c r="W23" i="62"/>
  <c r="U23" i="62"/>
  <c r="AB8" i="46"/>
  <c r="Z8" i="46"/>
  <c r="V8" i="46"/>
  <c r="T8" i="46"/>
  <c r="P8" i="46"/>
  <c r="N8" i="46"/>
  <c r="J8" i="46"/>
  <c r="H8" i="46"/>
  <c r="G8" i="46"/>
  <c r="F8" i="46"/>
  <c r="AA16" i="44"/>
  <c r="AA15" i="44"/>
  <c r="AA14" i="44"/>
  <c r="Y16" i="44"/>
  <c r="W16" i="44"/>
  <c r="X16" i="44" s="1"/>
  <c r="Y15" i="44"/>
  <c r="W15" i="44"/>
  <c r="X15" i="44" s="1"/>
  <c r="Y14" i="44"/>
  <c r="W14" i="44"/>
  <c r="X14" i="44" s="1"/>
  <c r="U16" i="44"/>
  <c r="U15" i="44"/>
  <c r="U14" i="44"/>
  <c r="S16" i="44"/>
  <c r="Q16" i="44"/>
  <c r="R16" i="44" s="1"/>
  <c r="S15" i="44"/>
  <c r="Q15" i="44"/>
  <c r="R15" i="44" s="1"/>
  <c r="S14" i="44"/>
  <c r="Q14" i="44"/>
  <c r="R14" i="44" s="1"/>
  <c r="O16" i="44"/>
  <c r="O15" i="44"/>
  <c r="O14" i="44"/>
  <c r="M16" i="44"/>
  <c r="K16" i="44"/>
  <c r="L16" i="44" s="1"/>
  <c r="M15" i="44"/>
  <c r="K15" i="44"/>
  <c r="L15" i="44" s="1"/>
  <c r="M14" i="44"/>
  <c r="K14" i="44"/>
  <c r="L14" i="44" s="1"/>
  <c r="I16" i="44"/>
  <c r="I15" i="44"/>
  <c r="I14" i="44"/>
  <c r="AB13" i="44"/>
  <c r="Z13" i="44"/>
  <c r="AA13" i="44" s="1"/>
  <c r="V13" i="44"/>
  <c r="Y13" i="44" s="1"/>
  <c r="T13" i="44"/>
  <c r="U13" i="44" s="1"/>
  <c r="P13" i="44"/>
  <c r="S13" i="44" s="1"/>
  <c r="N13" i="44"/>
  <c r="O13" i="44" s="1"/>
  <c r="J13" i="44"/>
  <c r="M13" i="44" s="1"/>
  <c r="H13" i="44"/>
  <c r="K13" i="44" s="1"/>
  <c r="L13" i="44" s="1"/>
  <c r="G13" i="44"/>
  <c r="F13" i="44"/>
  <c r="AB12" i="44"/>
  <c r="Z12" i="44"/>
  <c r="AA12" i="44" s="1"/>
  <c r="V12" i="44"/>
  <c r="Y12" i="44" s="1"/>
  <c r="T12" i="44"/>
  <c r="U12" i="44" s="1"/>
  <c r="P12" i="44"/>
  <c r="S12" i="44" s="1"/>
  <c r="N12" i="44"/>
  <c r="Q12" i="44" s="1"/>
  <c r="R12" i="44" s="1"/>
  <c r="J12" i="44"/>
  <c r="M12" i="44" s="1"/>
  <c r="H12" i="44"/>
  <c r="I12" i="44" s="1"/>
  <c r="G12" i="44"/>
  <c r="F12" i="44"/>
  <c r="AA13" i="42"/>
  <c r="AA12" i="42"/>
  <c r="Y13" i="42"/>
  <c r="Y12" i="42"/>
  <c r="W13" i="42"/>
  <c r="X13" i="42" s="1"/>
  <c r="W12" i="42"/>
  <c r="X12" i="42" s="1"/>
  <c r="U13" i="42"/>
  <c r="U12" i="42"/>
  <c r="S13" i="42"/>
  <c r="S12" i="42"/>
  <c r="Q13" i="42"/>
  <c r="R13" i="42" s="1"/>
  <c r="Q12" i="42"/>
  <c r="R12" i="42" s="1"/>
  <c r="O13" i="42"/>
  <c r="O12" i="42"/>
  <c r="M13" i="42"/>
  <c r="M12" i="42"/>
  <c r="K13" i="42"/>
  <c r="L13" i="42" s="1"/>
  <c r="K12" i="42"/>
  <c r="L12" i="42" s="1"/>
  <c r="I13" i="42"/>
  <c r="I12" i="42"/>
  <c r="AB11" i="42"/>
  <c r="Z11" i="42"/>
  <c r="AA11" i="42" s="1"/>
  <c r="V11" i="42"/>
  <c r="Y11" i="42" s="1"/>
  <c r="T11" i="42"/>
  <c r="W11" i="42" s="1"/>
  <c r="X11" i="42" s="1"/>
  <c r="P11" i="42"/>
  <c r="S11" i="42" s="1"/>
  <c r="N11" i="42"/>
  <c r="O11" i="42" s="1"/>
  <c r="J11" i="42"/>
  <c r="M11" i="42" s="1"/>
  <c r="H11" i="42"/>
  <c r="I11" i="42" s="1"/>
  <c r="G11" i="42"/>
  <c r="F11" i="42"/>
  <c r="AB10" i="43"/>
  <c r="Z10" i="43"/>
  <c r="V10" i="43"/>
  <c r="T10" i="43"/>
  <c r="P10" i="43"/>
  <c r="N10" i="43"/>
  <c r="J10" i="43"/>
  <c r="H10" i="43"/>
  <c r="G10" i="43"/>
  <c r="F10" i="43"/>
  <c r="AB9" i="39"/>
  <c r="Z9" i="39"/>
  <c r="V9" i="39"/>
  <c r="T9" i="39"/>
  <c r="P9" i="39"/>
  <c r="N9" i="39"/>
  <c r="J9" i="39"/>
  <c r="H9" i="39"/>
  <c r="G9" i="39"/>
  <c r="F9" i="39"/>
  <c r="AH9" i="45"/>
  <c r="AF9" i="45"/>
  <c r="AC9" i="45"/>
  <c r="V9" i="45"/>
  <c r="T9" i="45"/>
  <c r="P9" i="45"/>
  <c r="N9" i="45"/>
  <c r="J9" i="45"/>
  <c r="H9" i="45"/>
  <c r="G9" i="45"/>
  <c r="F9" i="45"/>
  <c r="AB9" i="43"/>
  <c r="Z9" i="43"/>
  <c r="V9" i="43"/>
  <c r="T9" i="43"/>
  <c r="P9" i="43"/>
  <c r="N9" i="43"/>
  <c r="J9" i="43"/>
  <c r="H9" i="43"/>
  <c r="G9" i="43"/>
  <c r="F9" i="43"/>
  <c r="AB8" i="41"/>
  <c r="Z8" i="41"/>
  <c r="V8" i="41"/>
  <c r="T8" i="41"/>
  <c r="P8" i="41"/>
  <c r="N8" i="41"/>
  <c r="J8" i="41"/>
  <c r="H8" i="41"/>
  <c r="G8" i="41"/>
  <c r="F8" i="41"/>
  <c r="AB8" i="39"/>
  <c r="Z8" i="39"/>
  <c r="V8" i="39"/>
  <c r="T8" i="39"/>
  <c r="P8" i="39"/>
  <c r="N8" i="39"/>
  <c r="J8" i="39"/>
  <c r="H8" i="39"/>
  <c r="G8" i="39"/>
  <c r="F8" i="39"/>
  <c r="AB6" i="36"/>
  <c r="Z6" i="36"/>
  <c r="V6" i="36"/>
  <c r="T6" i="36"/>
  <c r="P6" i="36"/>
  <c r="N6" i="36"/>
  <c r="J6" i="36"/>
  <c r="H6" i="36"/>
  <c r="G6" i="36"/>
  <c r="F6" i="36"/>
  <c r="AB7" i="46"/>
  <c r="Z7" i="46"/>
  <c r="V7" i="46"/>
  <c r="T7" i="46"/>
  <c r="P7" i="46"/>
  <c r="N7" i="46"/>
  <c r="J7" i="46"/>
  <c r="H7" i="46"/>
  <c r="G7" i="46"/>
  <c r="F7" i="46"/>
  <c r="W13" i="44"/>
  <c r="X13" i="44" s="1"/>
  <c r="I13" i="44"/>
  <c r="AB11" i="44"/>
  <c r="Z11" i="44"/>
  <c r="AA11" i="44" s="1"/>
  <c r="V11" i="44"/>
  <c r="Y11" i="44" s="1"/>
  <c r="T11" i="44"/>
  <c r="W11" i="44" s="1"/>
  <c r="X11" i="44" s="1"/>
  <c r="P11" i="44"/>
  <c r="S11" i="44" s="1"/>
  <c r="N11" i="44"/>
  <c r="Q11" i="44" s="1"/>
  <c r="R11" i="44" s="1"/>
  <c r="J11" i="44"/>
  <c r="M11" i="44" s="1"/>
  <c r="H11" i="44"/>
  <c r="K11" i="44" s="1"/>
  <c r="L11" i="44" s="1"/>
  <c r="G11" i="44"/>
  <c r="F11" i="44"/>
  <c r="AB10" i="42"/>
  <c r="Z10" i="42"/>
  <c r="V10" i="42"/>
  <c r="T10" i="42"/>
  <c r="P10" i="42"/>
  <c r="N10" i="42"/>
  <c r="J10" i="42"/>
  <c r="H10" i="42"/>
  <c r="G10" i="42"/>
  <c r="F10" i="42"/>
  <c r="AB9" i="40"/>
  <c r="Z9" i="40"/>
  <c r="V9" i="40"/>
  <c r="T9" i="40"/>
  <c r="P9" i="40"/>
  <c r="N9" i="40"/>
  <c r="J9" i="40"/>
  <c r="H9" i="40"/>
  <c r="G9" i="40"/>
  <c r="F9" i="40"/>
  <c r="AB8" i="38"/>
  <c r="Z8" i="38"/>
  <c r="V8" i="38"/>
  <c r="T8" i="38"/>
  <c r="P8" i="38"/>
  <c r="N8" i="38"/>
  <c r="J8" i="38"/>
  <c r="H8" i="38"/>
  <c r="G8" i="38"/>
  <c r="F8" i="38"/>
  <c r="AH7" i="54"/>
  <c r="AF7" i="54"/>
  <c r="AB7" i="54"/>
  <c r="Z7" i="54"/>
  <c r="V7" i="54"/>
  <c r="T7" i="54"/>
  <c r="P7" i="54"/>
  <c r="N7" i="54"/>
  <c r="J7" i="54"/>
  <c r="H7" i="54"/>
  <c r="G7" i="54"/>
  <c r="F7" i="54"/>
  <c r="AB7" i="66"/>
  <c r="Z7" i="66"/>
  <c r="V7" i="66"/>
  <c r="T7" i="66"/>
  <c r="P7" i="66"/>
  <c r="N7" i="66"/>
  <c r="J7" i="66"/>
  <c r="H7" i="66"/>
  <c r="G7" i="66"/>
  <c r="F7" i="66"/>
  <c r="AB7" i="56"/>
  <c r="Z7" i="56"/>
  <c r="V7" i="56"/>
  <c r="T7" i="56"/>
  <c r="P7" i="56"/>
  <c r="N7" i="56"/>
  <c r="J7" i="56"/>
  <c r="H7" i="56"/>
  <c r="G7" i="56"/>
  <c r="F7" i="56"/>
  <c r="AB8" i="23"/>
  <c r="Z8" i="23"/>
  <c r="V8" i="23"/>
  <c r="Y8" i="23" s="1"/>
  <c r="T8" i="23"/>
  <c r="W8" i="23" s="1"/>
  <c r="X8" i="23" s="1"/>
  <c r="P8" i="23"/>
  <c r="S8" i="23" s="1"/>
  <c r="N8" i="23"/>
  <c r="Q8" i="23" s="1"/>
  <c r="R8" i="23" s="1"/>
  <c r="J8" i="23"/>
  <c r="M8" i="23" s="1"/>
  <c r="H8" i="23"/>
  <c r="K8" i="23" s="1"/>
  <c r="L8" i="23" s="1"/>
  <c r="G8" i="23"/>
  <c r="F8" i="23"/>
  <c r="AB10" i="44"/>
  <c r="Z10" i="44"/>
  <c r="V10" i="44"/>
  <c r="T10" i="44"/>
  <c r="P10" i="44"/>
  <c r="N10" i="44"/>
  <c r="J10" i="44"/>
  <c r="H10" i="44"/>
  <c r="G10" i="44"/>
  <c r="F10" i="44"/>
  <c r="AB9" i="42"/>
  <c r="Z9" i="42"/>
  <c r="V9" i="42"/>
  <c r="T9" i="42"/>
  <c r="P9" i="42"/>
  <c r="N9" i="42"/>
  <c r="J9" i="42"/>
  <c r="H9" i="42"/>
  <c r="G9" i="42"/>
  <c r="F9" i="42"/>
  <c r="AB9" i="44"/>
  <c r="Z9" i="44"/>
  <c r="V9" i="44"/>
  <c r="T9" i="44"/>
  <c r="P9" i="44"/>
  <c r="N9" i="44"/>
  <c r="J9" i="44"/>
  <c r="H9" i="44"/>
  <c r="G9" i="44"/>
  <c r="F9" i="44"/>
  <c r="AB8" i="42"/>
  <c r="Z8" i="42"/>
  <c r="V8" i="42"/>
  <c r="T8" i="42"/>
  <c r="P8" i="42"/>
  <c r="N8" i="42"/>
  <c r="J8" i="42"/>
  <c r="H8" i="42"/>
  <c r="G8" i="42"/>
  <c r="F8" i="42"/>
  <c r="AB8" i="40"/>
  <c r="Z8" i="40"/>
  <c r="V8" i="40"/>
  <c r="T8" i="40"/>
  <c r="P8" i="40"/>
  <c r="N8" i="40"/>
  <c r="J8" i="40"/>
  <c r="H8" i="40"/>
  <c r="G8" i="40"/>
  <c r="F8" i="40"/>
  <c r="AB7" i="38"/>
  <c r="Z7" i="38"/>
  <c r="V7" i="38"/>
  <c r="T7" i="38"/>
  <c r="P7" i="38"/>
  <c r="N7" i="38"/>
  <c r="J7" i="38"/>
  <c r="H7" i="38"/>
  <c r="G7" i="38"/>
  <c r="F7" i="38"/>
  <c r="AB9" i="17"/>
  <c r="Z9" i="17"/>
  <c r="V9" i="17"/>
  <c r="T9" i="17"/>
  <c r="P9" i="17"/>
  <c r="N9" i="17"/>
  <c r="J9" i="17"/>
  <c r="H9" i="17"/>
  <c r="G9" i="17"/>
  <c r="F9" i="17"/>
  <c r="AB9" i="33"/>
  <c r="Z9" i="33"/>
  <c r="V9" i="33"/>
  <c r="T9" i="33"/>
  <c r="P9" i="33"/>
  <c r="N9" i="33"/>
  <c r="J9" i="33"/>
  <c r="H9" i="33"/>
  <c r="G9" i="33"/>
  <c r="F9" i="33"/>
  <c r="AB10" i="32"/>
  <c r="Z10" i="32"/>
  <c r="V10" i="32"/>
  <c r="T10" i="32"/>
  <c r="P10" i="32"/>
  <c r="N10" i="32"/>
  <c r="J10" i="32"/>
  <c r="H10" i="32"/>
  <c r="G10" i="32"/>
  <c r="F10" i="32"/>
  <c r="AH7" i="45"/>
  <c r="AH8" i="45"/>
  <c r="AF8" i="45"/>
  <c r="AB8" i="45"/>
  <c r="AE8" i="45" s="1"/>
  <c r="Z8" i="45"/>
  <c r="AA8" i="45" s="1"/>
  <c r="V8" i="45"/>
  <c r="T8" i="45"/>
  <c r="P8" i="45"/>
  <c r="N8" i="45"/>
  <c r="J8" i="45"/>
  <c r="H8" i="45"/>
  <c r="G8" i="45"/>
  <c r="F8" i="45"/>
  <c r="AB8" i="43"/>
  <c r="Z8" i="43"/>
  <c r="V8" i="43"/>
  <c r="T8" i="43"/>
  <c r="P8" i="43"/>
  <c r="N8" i="43"/>
  <c r="J8" i="43"/>
  <c r="H8" i="43"/>
  <c r="G8" i="43"/>
  <c r="F8" i="43"/>
  <c r="G7" i="41"/>
  <c r="AB7" i="41"/>
  <c r="Z7" i="41"/>
  <c r="V7" i="41"/>
  <c r="T7" i="41"/>
  <c r="P7" i="41"/>
  <c r="N7" i="41"/>
  <c r="J7" i="41"/>
  <c r="H7" i="41"/>
  <c r="F7" i="41"/>
  <c r="AB7" i="39"/>
  <c r="Z7" i="39"/>
  <c r="V7" i="39"/>
  <c r="T7" i="39"/>
  <c r="P7" i="39"/>
  <c r="N7" i="39"/>
  <c r="J7" i="39"/>
  <c r="H7" i="39"/>
  <c r="G7" i="39"/>
  <c r="F7" i="39"/>
  <c r="K13" i="18"/>
  <c r="L13" i="18" s="1"/>
  <c r="K12" i="18"/>
  <c r="K11" i="18"/>
  <c r="L11" i="18" s="1"/>
  <c r="M13" i="18"/>
  <c r="M12" i="18"/>
  <c r="M11" i="18"/>
  <c r="Q13" i="18"/>
  <c r="R13" i="18" s="1"/>
  <c r="Q12" i="18"/>
  <c r="Q11" i="18"/>
  <c r="R11" i="18" s="1"/>
  <c r="S13" i="18"/>
  <c r="S12" i="18"/>
  <c r="S11" i="18"/>
  <c r="W13" i="18"/>
  <c r="X13" i="18" s="1"/>
  <c r="W12" i="18"/>
  <c r="X12" i="18" s="1"/>
  <c r="W11" i="18"/>
  <c r="X11" i="18" s="1"/>
  <c r="Y13" i="18"/>
  <c r="Y12" i="18"/>
  <c r="Y11" i="18"/>
  <c r="U13" i="18"/>
  <c r="U12" i="18"/>
  <c r="U11" i="18"/>
  <c r="R12" i="18"/>
  <c r="O13" i="18"/>
  <c r="O12" i="18"/>
  <c r="O11" i="18"/>
  <c r="L12" i="18"/>
  <c r="I13" i="18"/>
  <c r="I12" i="18"/>
  <c r="I11" i="18"/>
  <c r="AB10" i="18"/>
  <c r="Z10" i="18"/>
  <c r="V10" i="18"/>
  <c r="T10" i="18"/>
  <c r="P10" i="18"/>
  <c r="N10" i="18"/>
  <c r="J10" i="18"/>
  <c r="H10" i="18"/>
  <c r="G10" i="18"/>
  <c r="F10" i="18"/>
  <c r="AB7" i="2"/>
  <c r="Z7" i="2"/>
  <c r="V7" i="2"/>
  <c r="T7" i="2"/>
  <c r="P7" i="2"/>
  <c r="N7" i="2"/>
  <c r="J7" i="2"/>
  <c r="H7" i="2"/>
  <c r="G7" i="2"/>
  <c r="F7" i="2"/>
  <c r="AB9" i="18"/>
  <c r="Z9" i="18"/>
  <c r="V9" i="18"/>
  <c r="T9" i="18"/>
  <c r="P9" i="18"/>
  <c r="N9" i="18"/>
  <c r="J9" i="18"/>
  <c r="H9" i="18"/>
  <c r="G9" i="18"/>
  <c r="F9" i="18"/>
  <c r="AB8" i="17"/>
  <c r="Z8" i="17"/>
  <c r="V8" i="17"/>
  <c r="T8" i="17"/>
  <c r="P8" i="17"/>
  <c r="N8" i="17"/>
  <c r="J8" i="17"/>
  <c r="H8" i="17"/>
  <c r="G8" i="17"/>
  <c r="F8" i="17"/>
  <c r="AB8" i="33"/>
  <c r="Z8" i="33"/>
  <c r="V8" i="33"/>
  <c r="T8" i="33"/>
  <c r="P8" i="33"/>
  <c r="N8" i="33"/>
  <c r="J8" i="33"/>
  <c r="H8" i="33"/>
  <c r="G8" i="33"/>
  <c r="F8" i="33"/>
  <c r="AB9" i="32"/>
  <c r="Z9" i="32"/>
  <c r="V9" i="32"/>
  <c r="T9" i="32"/>
  <c r="P9" i="32"/>
  <c r="N9" i="32"/>
  <c r="J9" i="32"/>
  <c r="H9" i="32"/>
  <c r="G9" i="32"/>
  <c r="F9" i="32"/>
  <c r="AB8" i="31"/>
  <c r="Z8" i="31"/>
  <c r="V8" i="31"/>
  <c r="T8" i="31"/>
  <c r="P8" i="31"/>
  <c r="N8" i="31"/>
  <c r="J8" i="31"/>
  <c r="H8" i="31"/>
  <c r="G8" i="31"/>
  <c r="F8" i="31"/>
  <c r="AB7" i="30"/>
  <c r="Z7" i="30"/>
  <c r="V7" i="30"/>
  <c r="T7" i="30"/>
  <c r="P7" i="30"/>
  <c r="N7" i="30"/>
  <c r="J7" i="30"/>
  <c r="H7" i="30"/>
  <c r="G7" i="30"/>
  <c r="F7" i="30"/>
  <c r="AB7" i="29"/>
  <c r="Z7" i="29"/>
  <c r="V7" i="29"/>
  <c r="T7" i="29"/>
  <c r="P7" i="29"/>
  <c r="N7" i="29"/>
  <c r="J7" i="29"/>
  <c r="H7" i="29"/>
  <c r="G7" i="29"/>
  <c r="F7" i="29"/>
  <c r="AH6" i="54"/>
  <c r="AF6" i="54"/>
  <c r="AB6" i="54"/>
  <c r="Z6" i="54"/>
  <c r="V6" i="54"/>
  <c r="T6" i="54"/>
  <c r="P6" i="54"/>
  <c r="N6" i="54"/>
  <c r="J6" i="54"/>
  <c r="H6" i="54"/>
  <c r="G6" i="54"/>
  <c r="F6" i="54"/>
  <c r="AH8" i="13"/>
  <c r="AF8" i="13"/>
  <c r="AB8" i="13"/>
  <c r="Z8" i="13"/>
  <c r="V8" i="13"/>
  <c r="T8" i="13"/>
  <c r="P8" i="13"/>
  <c r="N8" i="13"/>
  <c r="J8" i="13"/>
  <c r="H8" i="13"/>
  <c r="G8" i="13"/>
  <c r="F8" i="13"/>
  <c r="AA10" i="14"/>
  <c r="AA9" i="14"/>
  <c r="AA8" i="14"/>
  <c r="AH7" i="14"/>
  <c r="AF7" i="14"/>
  <c r="AB7" i="14"/>
  <c r="Z7" i="14"/>
  <c r="AA7" i="14" s="1"/>
  <c r="V7" i="14"/>
  <c r="T7" i="14"/>
  <c r="P7" i="14"/>
  <c r="N7" i="14"/>
  <c r="J7" i="14"/>
  <c r="H7" i="14"/>
  <c r="G7" i="14"/>
  <c r="F7" i="14"/>
  <c r="AC8" i="63"/>
  <c r="AA8" i="63"/>
  <c r="W8" i="63"/>
  <c r="U8" i="63"/>
  <c r="Q8" i="63"/>
  <c r="O8" i="63"/>
  <c r="K8" i="63"/>
  <c r="I8" i="63"/>
  <c r="H8" i="63"/>
  <c r="G8" i="63"/>
  <c r="F8" i="63"/>
  <c r="AI9" i="62"/>
  <c r="AG9" i="62"/>
  <c r="AC9" i="62"/>
  <c r="AF9" i="62" s="1"/>
  <c r="AA9" i="62"/>
  <c r="AD9" i="62" s="1"/>
  <c r="W9" i="62"/>
  <c r="U9" i="62"/>
  <c r="Q9" i="62"/>
  <c r="O9" i="62"/>
  <c r="K9" i="62"/>
  <c r="I9" i="62"/>
  <c r="H9" i="62"/>
  <c r="G9" i="62"/>
  <c r="F9" i="62"/>
  <c r="AB24" i="62"/>
  <c r="AB23" i="62"/>
  <c r="AB22" i="62"/>
  <c r="AB21" i="62"/>
  <c r="AB20" i="62"/>
  <c r="AB10" i="62"/>
  <c r="AB8" i="62"/>
  <c r="AB7" i="62"/>
  <c r="AB6" i="62"/>
  <c r="AD24" i="62"/>
  <c r="AD23" i="62"/>
  <c r="AD22" i="62"/>
  <c r="AD21" i="62"/>
  <c r="AF24" i="62"/>
  <c r="AF23" i="62"/>
  <c r="AF22" i="62"/>
  <c r="AF21" i="62"/>
  <c r="AF20" i="62"/>
  <c r="AD20" i="62"/>
  <c r="AF10" i="62"/>
  <c r="AF8" i="62"/>
  <c r="AF7" i="62"/>
  <c r="AF6" i="62"/>
  <c r="AD10" i="62"/>
  <c r="AD8" i="62"/>
  <c r="AD7" i="62"/>
  <c r="AD6" i="62"/>
  <c r="AI8" i="62"/>
  <c r="AG8" i="62"/>
  <c r="W8" i="62"/>
  <c r="U8" i="62"/>
  <c r="Q8" i="62"/>
  <c r="O8" i="62"/>
  <c r="K8" i="62"/>
  <c r="I8" i="62"/>
  <c r="H8" i="62"/>
  <c r="G8" i="62"/>
  <c r="F8" i="62"/>
  <c r="AC9" i="61"/>
  <c r="AA9" i="61"/>
  <c r="W9" i="61"/>
  <c r="U9" i="61"/>
  <c r="Q9" i="61"/>
  <c r="O9" i="61"/>
  <c r="K9" i="61"/>
  <c r="I9" i="61"/>
  <c r="H9" i="61"/>
  <c r="G9" i="61"/>
  <c r="F9" i="61"/>
  <c r="AC8" i="61"/>
  <c r="AA8" i="61"/>
  <c r="W8" i="61"/>
  <c r="U8" i="61"/>
  <c r="Q8" i="61"/>
  <c r="O8" i="61"/>
  <c r="K8" i="61"/>
  <c r="I8" i="61"/>
  <c r="H8" i="61"/>
  <c r="G8" i="61"/>
  <c r="F8" i="61"/>
  <c r="AC9" i="60"/>
  <c r="AA9" i="60"/>
  <c r="W9" i="60"/>
  <c r="U9" i="60"/>
  <c r="Q9" i="60"/>
  <c r="O9" i="60"/>
  <c r="K9" i="60"/>
  <c r="I9" i="60"/>
  <c r="H9" i="60"/>
  <c r="G9" i="60"/>
  <c r="F9" i="60"/>
  <c r="AC8" i="60"/>
  <c r="AA8" i="60"/>
  <c r="W8" i="60"/>
  <c r="U8" i="60"/>
  <c r="Q8" i="60"/>
  <c r="O8" i="60"/>
  <c r="K8" i="60"/>
  <c r="I8" i="60"/>
  <c r="H8" i="60"/>
  <c r="G8" i="60"/>
  <c r="F8" i="60"/>
  <c r="AC7" i="59"/>
  <c r="AA7" i="59"/>
  <c r="W7" i="59"/>
  <c r="U7" i="59"/>
  <c r="Q7" i="59"/>
  <c r="O7" i="59"/>
  <c r="K7" i="59"/>
  <c r="I7" i="59"/>
  <c r="H7" i="59"/>
  <c r="G7" i="59"/>
  <c r="F7" i="59"/>
  <c r="AC6" i="59"/>
  <c r="AA6" i="59"/>
  <c r="W6" i="59"/>
  <c r="U6" i="59"/>
  <c r="Q6" i="59"/>
  <c r="O6" i="59"/>
  <c r="K6" i="59"/>
  <c r="H6" i="59"/>
  <c r="G6" i="59"/>
  <c r="F6" i="59"/>
  <c r="AI6" i="73"/>
  <c r="AG6" i="73"/>
  <c r="AH6" i="73" s="1"/>
  <c r="AC6" i="73"/>
  <c r="AF6" i="73" s="1"/>
  <c r="AA6" i="73"/>
  <c r="AD6" i="73" s="1"/>
  <c r="W6" i="73"/>
  <c r="Z6" i="73" s="1"/>
  <c r="U6" i="73"/>
  <c r="X6" i="73" s="1"/>
  <c r="Y6" i="73" s="1"/>
  <c r="Q6" i="73"/>
  <c r="T6" i="73" s="1"/>
  <c r="O6" i="73"/>
  <c r="R6" i="73" s="1"/>
  <c r="S6" i="73" s="1"/>
  <c r="K6" i="73"/>
  <c r="N6" i="73" s="1"/>
  <c r="I6" i="73"/>
  <c r="L6" i="73" s="1"/>
  <c r="M6" i="73" s="1"/>
  <c r="H6" i="73"/>
  <c r="G6" i="73"/>
  <c r="F6" i="73"/>
  <c r="AB10" i="73"/>
  <c r="AB9" i="73"/>
  <c r="AB8" i="73"/>
  <c r="AB7" i="73"/>
  <c r="AF10" i="73"/>
  <c r="AF9" i="73"/>
  <c r="AF8" i="73"/>
  <c r="AF7" i="73"/>
  <c r="AD10" i="73"/>
  <c r="AD9" i="73"/>
  <c r="AD8" i="73"/>
  <c r="AD7" i="73"/>
  <c r="C15" i="73"/>
  <c r="C13" i="73"/>
  <c r="B13" i="73"/>
  <c r="AH10" i="73"/>
  <c r="Z10" i="73"/>
  <c r="X10" i="73"/>
  <c r="Y10" i="73" s="1"/>
  <c r="V10" i="73"/>
  <c r="T10" i="73"/>
  <c r="R10" i="73"/>
  <c r="S10" i="73" s="1"/>
  <c r="P10" i="73"/>
  <c r="N10" i="73"/>
  <c r="L10" i="73"/>
  <c r="M10" i="73" s="1"/>
  <c r="J10" i="73"/>
  <c r="D10" i="73"/>
  <c r="C10" i="73"/>
  <c r="B10" i="73"/>
  <c r="AH9" i="73"/>
  <c r="Z9" i="73"/>
  <c r="X9" i="73"/>
  <c r="Y9" i="73" s="1"/>
  <c r="V9" i="73"/>
  <c r="T9" i="73"/>
  <c r="R9" i="73"/>
  <c r="S9" i="73" s="1"/>
  <c r="P9" i="73"/>
  <c r="N9" i="73"/>
  <c r="L9" i="73"/>
  <c r="M9" i="73" s="1"/>
  <c r="J9" i="73"/>
  <c r="D9" i="73"/>
  <c r="C9" i="73"/>
  <c r="B9" i="73"/>
  <c r="AH8" i="73"/>
  <c r="Z8" i="73"/>
  <c r="X8" i="73"/>
  <c r="Y8" i="73" s="1"/>
  <c r="V8" i="73"/>
  <c r="T8" i="73"/>
  <c r="R8" i="73"/>
  <c r="S8" i="73" s="1"/>
  <c r="P8" i="73"/>
  <c r="N8" i="73"/>
  <c r="M8" i="73"/>
  <c r="L8" i="73"/>
  <c r="J8" i="73"/>
  <c r="D8" i="73"/>
  <c r="C8" i="73"/>
  <c r="B8" i="73"/>
  <c r="AH7" i="73"/>
  <c r="Z7" i="73"/>
  <c r="X7" i="73"/>
  <c r="Y7" i="73" s="1"/>
  <c r="V7" i="73"/>
  <c r="T7" i="73"/>
  <c r="R7" i="73"/>
  <c r="S7" i="73" s="1"/>
  <c r="P7" i="73"/>
  <c r="N7" i="73"/>
  <c r="L7" i="73"/>
  <c r="M7" i="73" s="1"/>
  <c r="J7" i="73"/>
  <c r="D7" i="73"/>
  <c r="C7" i="73"/>
  <c r="B7" i="73"/>
  <c r="D6" i="73"/>
  <c r="C6" i="73"/>
  <c r="B6" i="73"/>
  <c r="H4" i="73"/>
  <c r="G4" i="73"/>
  <c r="AF7" i="45"/>
  <c r="AB7" i="45"/>
  <c r="AE7" i="45" s="1"/>
  <c r="Z7" i="45"/>
  <c r="AC7" i="45" s="1"/>
  <c r="V7" i="45"/>
  <c r="T7" i="45"/>
  <c r="P7" i="45"/>
  <c r="N7" i="45"/>
  <c r="J7" i="45"/>
  <c r="H7" i="45"/>
  <c r="G7" i="45"/>
  <c r="F7" i="45"/>
  <c r="AA10" i="45"/>
  <c r="AA9" i="45"/>
  <c r="AA6" i="45"/>
  <c r="AC10" i="45"/>
  <c r="AE10" i="45"/>
  <c r="AE9" i="45"/>
  <c r="AE6" i="45"/>
  <c r="AC6" i="45"/>
  <c r="AC6" i="71"/>
  <c r="AA6" i="71"/>
  <c r="AB6" i="71" s="1"/>
  <c r="W6" i="71"/>
  <c r="Z6" i="71" s="1"/>
  <c r="U6" i="71"/>
  <c r="V6" i="71" s="1"/>
  <c r="Q6" i="71"/>
  <c r="T6" i="71" s="1"/>
  <c r="O6" i="71"/>
  <c r="R6" i="71" s="1"/>
  <c r="S6" i="71" s="1"/>
  <c r="K6" i="71"/>
  <c r="N6" i="71" s="1"/>
  <c r="I6" i="71"/>
  <c r="L6" i="71" s="1"/>
  <c r="M6" i="71" s="1"/>
  <c r="H6" i="71"/>
  <c r="G6" i="71"/>
  <c r="F6" i="71"/>
  <c r="AB7" i="43"/>
  <c r="Z7" i="43"/>
  <c r="V7" i="43"/>
  <c r="T7" i="43"/>
  <c r="P7" i="43"/>
  <c r="N7" i="43"/>
  <c r="J7" i="43"/>
  <c r="H7" i="43"/>
  <c r="G7" i="43"/>
  <c r="F7" i="43"/>
  <c r="AC6" i="70"/>
  <c r="AA6" i="70"/>
  <c r="AB6" i="70" s="1"/>
  <c r="W6" i="70"/>
  <c r="Z6" i="70" s="1"/>
  <c r="U6" i="70"/>
  <c r="X6" i="70" s="1"/>
  <c r="Y6" i="70" s="1"/>
  <c r="Q6" i="70"/>
  <c r="T6" i="70" s="1"/>
  <c r="O6" i="70"/>
  <c r="P6" i="70" s="1"/>
  <c r="K6" i="70"/>
  <c r="N6" i="70" s="1"/>
  <c r="I6" i="70"/>
  <c r="L6" i="70" s="1"/>
  <c r="M6" i="70" s="1"/>
  <c r="H6" i="70"/>
  <c r="G6" i="70"/>
  <c r="F6" i="70"/>
  <c r="C15" i="71"/>
  <c r="C6" i="71" s="1"/>
  <c r="C13" i="71"/>
  <c r="B13" i="71"/>
  <c r="AB10" i="71"/>
  <c r="Z10" i="71"/>
  <c r="Y10" i="71"/>
  <c r="X10" i="71"/>
  <c r="V10" i="71"/>
  <c r="T10" i="71"/>
  <c r="R10" i="71"/>
  <c r="S10" i="71" s="1"/>
  <c r="P10" i="71"/>
  <c r="N10" i="71"/>
  <c r="M10" i="71"/>
  <c r="L10" i="71"/>
  <c r="J10" i="71"/>
  <c r="C10" i="71"/>
  <c r="AB9" i="71"/>
  <c r="Z9" i="71"/>
  <c r="Y9" i="71"/>
  <c r="X9" i="71"/>
  <c r="V9" i="71"/>
  <c r="T9" i="71"/>
  <c r="R9" i="71"/>
  <c r="S9" i="71" s="1"/>
  <c r="P9" i="71"/>
  <c r="N9" i="71"/>
  <c r="L9" i="71"/>
  <c r="M9" i="71" s="1"/>
  <c r="J9" i="71"/>
  <c r="B9" i="71"/>
  <c r="AB8" i="71"/>
  <c r="Z8" i="71"/>
  <c r="X8" i="71"/>
  <c r="Y8" i="71" s="1"/>
  <c r="V8" i="71"/>
  <c r="T8" i="71"/>
  <c r="R8" i="71"/>
  <c r="S8" i="71" s="1"/>
  <c r="P8" i="71"/>
  <c r="N8" i="71"/>
  <c r="L8" i="71"/>
  <c r="M8" i="71" s="1"/>
  <c r="J8" i="71"/>
  <c r="D8" i="71"/>
  <c r="C8" i="71"/>
  <c r="AB7" i="71"/>
  <c r="Z7" i="71"/>
  <c r="V7" i="71"/>
  <c r="X7" i="71"/>
  <c r="Y7" i="71" s="1"/>
  <c r="T7" i="71"/>
  <c r="R7" i="71"/>
  <c r="S7" i="71" s="1"/>
  <c r="N7" i="71"/>
  <c r="L7" i="71"/>
  <c r="M7" i="71" s="1"/>
  <c r="D7" i="71"/>
  <c r="X6" i="71"/>
  <c r="Y6" i="71" s="1"/>
  <c r="D6" i="71"/>
  <c r="H4" i="71"/>
  <c r="G4" i="71"/>
  <c r="C15" i="70"/>
  <c r="C13" i="70"/>
  <c r="B13" i="70" s="1"/>
  <c r="AB10" i="70"/>
  <c r="Z10" i="70"/>
  <c r="Y10" i="70"/>
  <c r="X10" i="70"/>
  <c r="V10" i="70"/>
  <c r="T10" i="70"/>
  <c r="R10" i="70"/>
  <c r="S10" i="70" s="1"/>
  <c r="P10" i="70"/>
  <c r="N10" i="70"/>
  <c r="M10" i="70"/>
  <c r="L10" i="70"/>
  <c r="J10" i="70"/>
  <c r="D10" i="70"/>
  <c r="C10" i="70"/>
  <c r="B10" i="70"/>
  <c r="AB9" i="70"/>
  <c r="Z9" i="70"/>
  <c r="Y9" i="70"/>
  <c r="X9" i="70"/>
  <c r="V9" i="70"/>
  <c r="T9" i="70"/>
  <c r="R9" i="70"/>
  <c r="S9" i="70" s="1"/>
  <c r="P9" i="70"/>
  <c r="N9" i="70"/>
  <c r="M9" i="70"/>
  <c r="L9" i="70"/>
  <c r="J9" i="70"/>
  <c r="D9" i="70"/>
  <c r="C9" i="70"/>
  <c r="B9" i="70"/>
  <c r="AB8" i="70"/>
  <c r="Z8" i="70"/>
  <c r="Y8" i="70"/>
  <c r="X8" i="70"/>
  <c r="V8" i="70"/>
  <c r="T8" i="70"/>
  <c r="R8" i="70"/>
  <c r="S8" i="70" s="1"/>
  <c r="P8" i="70"/>
  <c r="N8" i="70"/>
  <c r="M8" i="70"/>
  <c r="L8" i="70"/>
  <c r="J8" i="70"/>
  <c r="D8" i="70"/>
  <c r="C8" i="70"/>
  <c r="B8" i="70"/>
  <c r="AB7" i="70"/>
  <c r="Z7" i="70"/>
  <c r="V7" i="70"/>
  <c r="T7" i="70"/>
  <c r="R7" i="70"/>
  <c r="S7" i="70" s="1"/>
  <c r="N7" i="70"/>
  <c r="L7" i="70"/>
  <c r="M7" i="70" s="1"/>
  <c r="D7" i="70"/>
  <c r="C7" i="70"/>
  <c r="B7" i="70"/>
  <c r="D6" i="70"/>
  <c r="C6" i="70"/>
  <c r="B6" i="70"/>
  <c r="H4" i="70"/>
  <c r="G4" i="70"/>
  <c r="AB6" i="41"/>
  <c r="Z6" i="41"/>
  <c r="V6" i="41"/>
  <c r="T6" i="41"/>
  <c r="P6" i="41"/>
  <c r="N6" i="41"/>
  <c r="J6" i="41"/>
  <c r="H6" i="41"/>
  <c r="G6" i="41"/>
  <c r="F6" i="41"/>
  <c r="AC6" i="69"/>
  <c r="AA6" i="69"/>
  <c r="AB6" i="69" s="1"/>
  <c r="W6" i="69"/>
  <c r="Z6" i="69" s="1"/>
  <c r="U6" i="69"/>
  <c r="V6" i="69" s="1"/>
  <c r="Q6" i="69"/>
  <c r="T6" i="69" s="1"/>
  <c r="O6" i="69"/>
  <c r="R6" i="69" s="1"/>
  <c r="S6" i="69" s="1"/>
  <c r="K6" i="69"/>
  <c r="N6" i="69" s="1"/>
  <c r="I6" i="69"/>
  <c r="L6" i="69" s="1"/>
  <c r="M6" i="69" s="1"/>
  <c r="H6" i="69"/>
  <c r="G6" i="69"/>
  <c r="F6" i="69"/>
  <c r="C15" i="69"/>
  <c r="C10" i="69" s="1"/>
  <c r="C13" i="69"/>
  <c r="B13" i="69" s="1"/>
  <c r="AB10" i="69"/>
  <c r="Z10" i="69"/>
  <c r="Y10" i="69"/>
  <c r="X10" i="69"/>
  <c r="V10" i="69"/>
  <c r="T10" i="69"/>
  <c r="R10" i="69"/>
  <c r="S10" i="69" s="1"/>
  <c r="P10" i="69"/>
  <c r="N10" i="69"/>
  <c r="L10" i="69"/>
  <c r="M10" i="69" s="1"/>
  <c r="J10" i="69"/>
  <c r="B10" i="69"/>
  <c r="AB9" i="69"/>
  <c r="Z9" i="69"/>
  <c r="X9" i="69"/>
  <c r="Y9" i="69" s="1"/>
  <c r="V9" i="69"/>
  <c r="T9" i="69"/>
  <c r="R9" i="69"/>
  <c r="S9" i="69" s="1"/>
  <c r="P9" i="69"/>
  <c r="N9" i="69"/>
  <c r="L9" i="69"/>
  <c r="M9" i="69" s="1"/>
  <c r="J9" i="69"/>
  <c r="D9" i="69"/>
  <c r="C9" i="69"/>
  <c r="B9" i="69"/>
  <c r="AB8" i="69"/>
  <c r="Z8" i="69"/>
  <c r="X8" i="69"/>
  <c r="Y8" i="69" s="1"/>
  <c r="V8" i="69"/>
  <c r="T8" i="69"/>
  <c r="R8" i="69"/>
  <c r="S8" i="69" s="1"/>
  <c r="P8" i="69"/>
  <c r="N8" i="69"/>
  <c r="M8" i="69"/>
  <c r="L8" i="69"/>
  <c r="J8" i="69"/>
  <c r="D8" i="69"/>
  <c r="C8" i="69"/>
  <c r="B8" i="69"/>
  <c r="AB7" i="69"/>
  <c r="Z7" i="69"/>
  <c r="Y7" i="69"/>
  <c r="X7" i="69"/>
  <c r="V7" i="69"/>
  <c r="T7" i="69"/>
  <c r="R7" i="69"/>
  <c r="S7" i="69" s="1"/>
  <c r="P7" i="69"/>
  <c r="N7" i="69"/>
  <c r="L7" i="69"/>
  <c r="M7" i="69" s="1"/>
  <c r="J7" i="69"/>
  <c r="D7" i="69"/>
  <c r="C7" i="69"/>
  <c r="B7" i="69"/>
  <c r="D6" i="69"/>
  <c r="C6" i="69"/>
  <c r="B6" i="69"/>
  <c r="H4" i="69"/>
  <c r="G4" i="69"/>
  <c r="AB6" i="39"/>
  <c r="Z6" i="39"/>
  <c r="V6" i="39"/>
  <c r="T6" i="39"/>
  <c r="P6" i="39"/>
  <c r="N6" i="39"/>
  <c r="J6" i="39"/>
  <c r="H6" i="39"/>
  <c r="G6" i="39"/>
  <c r="F6" i="39"/>
  <c r="AB6" i="34"/>
  <c r="Z6" i="34"/>
  <c r="V6" i="34"/>
  <c r="T6" i="34"/>
  <c r="P6" i="34"/>
  <c r="N6" i="34"/>
  <c r="J6" i="34"/>
  <c r="H6" i="34"/>
  <c r="G6" i="34"/>
  <c r="F6" i="34"/>
  <c r="AB7" i="33"/>
  <c r="Z7" i="33"/>
  <c r="V7" i="33"/>
  <c r="T7" i="33"/>
  <c r="P7" i="33"/>
  <c r="N7" i="33"/>
  <c r="J7" i="33"/>
  <c r="H7" i="33"/>
  <c r="G7" i="33"/>
  <c r="F7" i="33"/>
  <c r="AB6" i="33"/>
  <c r="Z6" i="33"/>
  <c r="V6" i="33"/>
  <c r="T6" i="33"/>
  <c r="P6" i="33"/>
  <c r="N6" i="33"/>
  <c r="J6" i="33"/>
  <c r="H6" i="33"/>
  <c r="G6" i="33"/>
  <c r="F6" i="33"/>
  <c r="AB8" i="32"/>
  <c r="Z8" i="32"/>
  <c r="V8" i="32"/>
  <c r="T8" i="32"/>
  <c r="P8" i="32"/>
  <c r="N8" i="32"/>
  <c r="J8" i="32"/>
  <c r="H8" i="32"/>
  <c r="G8" i="32"/>
  <c r="F8" i="32"/>
  <c r="AB7" i="32"/>
  <c r="Z7" i="32"/>
  <c r="V7" i="32"/>
  <c r="T7" i="32"/>
  <c r="P7" i="32"/>
  <c r="N7" i="32"/>
  <c r="J7" i="32"/>
  <c r="H7" i="32"/>
  <c r="G7" i="32"/>
  <c r="F7" i="32"/>
  <c r="AB7" i="31"/>
  <c r="Z7" i="31"/>
  <c r="V7" i="31"/>
  <c r="T7" i="31"/>
  <c r="P7" i="31"/>
  <c r="N7" i="31"/>
  <c r="J7" i="31"/>
  <c r="H7" i="31"/>
  <c r="G7" i="31"/>
  <c r="F7" i="31"/>
  <c r="AB6" i="30"/>
  <c r="Z6" i="30"/>
  <c r="V6" i="30"/>
  <c r="T6" i="30"/>
  <c r="P6" i="30"/>
  <c r="N6" i="30"/>
  <c r="J6" i="30"/>
  <c r="H6" i="30"/>
  <c r="G6" i="30"/>
  <c r="F6" i="30"/>
  <c r="AB6" i="29"/>
  <c r="Z6" i="29"/>
  <c r="V6" i="29"/>
  <c r="T6" i="29"/>
  <c r="P6" i="29"/>
  <c r="N6" i="29"/>
  <c r="J6" i="29"/>
  <c r="H6" i="29"/>
  <c r="G6" i="29"/>
  <c r="F6" i="29"/>
  <c r="AC7" i="63"/>
  <c r="AA7" i="63"/>
  <c r="W7" i="63"/>
  <c r="U7" i="63"/>
  <c r="Q7" i="63"/>
  <c r="O7" i="63"/>
  <c r="K7" i="63"/>
  <c r="I7" i="63"/>
  <c r="H7" i="63"/>
  <c r="G7" i="63"/>
  <c r="F7" i="63"/>
  <c r="AC6" i="63"/>
  <c r="AA6" i="63"/>
  <c r="W6" i="63"/>
  <c r="U6" i="63"/>
  <c r="Q6" i="63"/>
  <c r="O6" i="63"/>
  <c r="K6" i="63"/>
  <c r="I6" i="63"/>
  <c r="H6" i="63"/>
  <c r="G6" i="63"/>
  <c r="F6" i="63"/>
  <c r="AI7" i="62"/>
  <c r="AG7" i="62"/>
  <c r="W7" i="62"/>
  <c r="U7" i="62"/>
  <c r="Q7" i="62"/>
  <c r="O7" i="62"/>
  <c r="K7" i="62"/>
  <c r="I7" i="62"/>
  <c r="H7" i="62"/>
  <c r="G7" i="62"/>
  <c r="F7" i="62"/>
  <c r="AG6" i="62"/>
  <c r="AI6" i="62"/>
  <c r="W6" i="62"/>
  <c r="U6" i="62"/>
  <c r="Q6" i="62"/>
  <c r="O6" i="62"/>
  <c r="K6" i="62"/>
  <c r="I6" i="62"/>
  <c r="H6" i="62"/>
  <c r="G6" i="62"/>
  <c r="F6" i="62"/>
  <c r="AC7" i="61"/>
  <c r="AA7" i="61"/>
  <c r="W7" i="61"/>
  <c r="U7" i="61"/>
  <c r="Q7" i="61"/>
  <c r="O7" i="61"/>
  <c r="K7" i="61"/>
  <c r="I7" i="61"/>
  <c r="H7" i="61"/>
  <c r="G7" i="61"/>
  <c r="F7" i="61"/>
  <c r="AC6" i="61"/>
  <c r="AA6" i="61"/>
  <c r="W6" i="61"/>
  <c r="U6" i="61"/>
  <c r="Q6" i="61"/>
  <c r="O6" i="61"/>
  <c r="K6" i="61"/>
  <c r="I6" i="61"/>
  <c r="H6" i="61"/>
  <c r="G6" i="61"/>
  <c r="F6" i="61"/>
  <c r="AC7" i="60"/>
  <c r="AA7" i="60"/>
  <c r="U7" i="60"/>
  <c r="W7" i="60"/>
  <c r="Q7" i="60"/>
  <c r="O7" i="60"/>
  <c r="K7" i="60"/>
  <c r="I7" i="60"/>
  <c r="H7" i="60"/>
  <c r="G7" i="60"/>
  <c r="F7" i="60"/>
  <c r="AC6" i="60"/>
  <c r="AA6" i="60"/>
  <c r="W6" i="60"/>
  <c r="U6" i="60"/>
  <c r="Q6" i="60"/>
  <c r="O6" i="60"/>
  <c r="K6" i="60"/>
  <c r="I6" i="60"/>
  <c r="H6" i="60"/>
  <c r="G6" i="60"/>
  <c r="F6" i="60"/>
  <c r="AB7" i="17"/>
  <c r="Z7" i="17"/>
  <c r="V7" i="17"/>
  <c r="T7" i="17"/>
  <c r="P7" i="17"/>
  <c r="N7" i="17"/>
  <c r="J7" i="17"/>
  <c r="H7" i="17"/>
  <c r="G7" i="17"/>
  <c r="F7" i="17"/>
  <c r="AB6" i="2"/>
  <c r="Z6" i="2"/>
  <c r="V6" i="2"/>
  <c r="T6" i="2"/>
  <c r="P6" i="2"/>
  <c r="N6" i="2"/>
  <c r="J6" i="2"/>
  <c r="H6" i="2"/>
  <c r="G6" i="2"/>
  <c r="F6" i="2"/>
  <c r="AH6" i="48"/>
  <c r="AF6" i="48"/>
  <c r="AB6" i="48"/>
  <c r="Z6" i="48"/>
  <c r="V6" i="48"/>
  <c r="T6" i="48"/>
  <c r="P6" i="48"/>
  <c r="N6" i="48"/>
  <c r="J6" i="48"/>
  <c r="H6" i="48"/>
  <c r="G6" i="48"/>
  <c r="F6" i="48"/>
  <c r="AH6" i="50"/>
  <c r="AF6" i="50"/>
  <c r="AB6" i="50"/>
  <c r="Z6" i="50"/>
  <c r="V6" i="50"/>
  <c r="T6" i="50"/>
  <c r="P6" i="50"/>
  <c r="N6" i="50"/>
  <c r="J6" i="50"/>
  <c r="H6" i="50"/>
  <c r="G6" i="50"/>
  <c r="F6" i="50"/>
  <c r="AH7" i="13"/>
  <c r="AF7" i="13"/>
  <c r="AB7" i="13"/>
  <c r="Z7" i="13"/>
  <c r="V7" i="13"/>
  <c r="T7" i="13"/>
  <c r="P7" i="13"/>
  <c r="N7" i="13"/>
  <c r="J7" i="13"/>
  <c r="H7" i="13"/>
  <c r="G7" i="13"/>
  <c r="F7" i="13"/>
  <c r="AH6" i="14"/>
  <c r="AF6" i="14"/>
  <c r="AB6" i="14"/>
  <c r="Z6" i="14"/>
  <c r="V6" i="14"/>
  <c r="T6" i="14"/>
  <c r="P6" i="14"/>
  <c r="N6" i="14"/>
  <c r="J6" i="14"/>
  <c r="H6" i="14"/>
  <c r="G6" i="14"/>
  <c r="F6" i="14"/>
  <c r="AB6" i="19"/>
  <c r="Z6" i="19"/>
  <c r="V6" i="19"/>
  <c r="T6" i="19"/>
  <c r="P6" i="19"/>
  <c r="N6" i="19"/>
  <c r="J6" i="19"/>
  <c r="H6" i="19"/>
  <c r="G6" i="19"/>
  <c r="F6" i="19"/>
  <c r="AB8" i="18"/>
  <c r="Z8" i="18"/>
  <c r="V8" i="18"/>
  <c r="T8" i="18"/>
  <c r="P8" i="18"/>
  <c r="N8" i="18"/>
  <c r="J8" i="18"/>
  <c r="H8" i="18"/>
  <c r="G8" i="18"/>
  <c r="F8" i="18"/>
  <c r="AB6" i="17"/>
  <c r="Z6" i="17"/>
  <c r="V6" i="17"/>
  <c r="T6" i="17"/>
  <c r="P6" i="17"/>
  <c r="N6" i="17"/>
  <c r="J6" i="17"/>
  <c r="H6" i="17"/>
  <c r="G6" i="17"/>
  <c r="F6" i="17"/>
  <c r="AB6" i="46"/>
  <c r="Z6" i="46"/>
  <c r="V6" i="46"/>
  <c r="T6" i="46"/>
  <c r="P6" i="46"/>
  <c r="N6" i="46"/>
  <c r="J6" i="46"/>
  <c r="H6" i="46"/>
  <c r="G6" i="46"/>
  <c r="F6" i="46"/>
  <c r="AB8" i="44"/>
  <c r="Z8" i="44"/>
  <c r="V8" i="44"/>
  <c r="T8" i="44"/>
  <c r="P8" i="44"/>
  <c r="N8" i="44"/>
  <c r="J8" i="44"/>
  <c r="H8" i="44"/>
  <c r="G8" i="44"/>
  <c r="F8" i="44"/>
  <c r="AB7" i="42"/>
  <c r="Z7" i="42"/>
  <c r="V7" i="42"/>
  <c r="T7" i="42"/>
  <c r="P7" i="42"/>
  <c r="N7" i="42"/>
  <c r="J7" i="42"/>
  <c r="H7" i="42"/>
  <c r="G7" i="42"/>
  <c r="F7" i="42"/>
  <c r="AB7" i="40"/>
  <c r="Z7" i="40"/>
  <c r="V7" i="40"/>
  <c r="T7" i="40"/>
  <c r="P7" i="40"/>
  <c r="N7" i="40"/>
  <c r="J7" i="40"/>
  <c r="H7" i="40"/>
  <c r="G7" i="40"/>
  <c r="F7" i="40"/>
  <c r="AB6" i="38"/>
  <c r="Z6" i="38"/>
  <c r="V6" i="38"/>
  <c r="T6" i="38"/>
  <c r="P6" i="38"/>
  <c r="N6" i="38"/>
  <c r="J6" i="38"/>
  <c r="H6" i="38"/>
  <c r="G6" i="38"/>
  <c r="F6" i="38"/>
  <c r="AB7" i="24"/>
  <c r="Z7" i="24"/>
  <c r="V7" i="24"/>
  <c r="Y7" i="24" s="1"/>
  <c r="T7" i="24"/>
  <c r="W7" i="24" s="1"/>
  <c r="X7" i="24" s="1"/>
  <c r="P7" i="24"/>
  <c r="S7" i="24" s="1"/>
  <c r="N7" i="24"/>
  <c r="Q7" i="24" s="1"/>
  <c r="R7" i="24" s="1"/>
  <c r="J7" i="24"/>
  <c r="M7" i="24" s="1"/>
  <c r="H7" i="24"/>
  <c r="K7" i="24" s="1"/>
  <c r="L7" i="24" s="1"/>
  <c r="G7" i="24"/>
  <c r="F7" i="24"/>
  <c r="AB6" i="25"/>
  <c r="Z6" i="25"/>
  <c r="V6" i="25"/>
  <c r="Y6" i="25" s="1"/>
  <c r="T6" i="25"/>
  <c r="W6" i="25" s="1"/>
  <c r="X6" i="25" s="1"/>
  <c r="P6" i="25"/>
  <c r="S6" i="25" s="1"/>
  <c r="N6" i="25"/>
  <c r="Q6" i="25" s="1"/>
  <c r="R6" i="25" s="1"/>
  <c r="J6" i="25"/>
  <c r="M6" i="25" s="1"/>
  <c r="H6" i="25"/>
  <c r="K6" i="25" s="1"/>
  <c r="L6" i="25" s="1"/>
  <c r="G6" i="25"/>
  <c r="F6" i="25"/>
  <c r="AB6" i="24"/>
  <c r="Z6" i="24"/>
  <c r="V6" i="24"/>
  <c r="Y6" i="24" s="1"/>
  <c r="T6" i="24"/>
  <c r="W6" i="24" s="1"/>
  <c r="X6" i="24" s="1"/>
  <c r="P6" i="24"/>
  <c r="S6" i="24" s="1"/>
  <c r="N6" i="24"/>
  <c r="Q6" i="24" s="1"/>
  <c r="R6" i="24" s="1"/>
  <c r="J6" i="24"/>
  <c r="M6" i="24" s="1"/>
  <c r="H6" i="24"/>
  <c r="K6" i="24" s="1"/>
  <c r="L6" i="24" s="1"/>
  <c r="G6" i="24"/>
  <c r="F6" i="24"/>
  <c r="AB7" i="23"/>
  <c r="Z7" i="23"/>
  <c r="V7" i="23"/>
  <c r="Y7" i="23" s="1"/>
  <c r="T7" i="23"/>
  <c r="W7" i="23" s="1"/>
  <c r="X7" i="23" s="1"/>
  <c r="P7" i="23"/>
  <c r="S7" i="23" s="1"/>
  <c r="N7" i="23"/>
  <c r="Q7" i="23" s="1"/>
  <c r="R7" i="23" s="1"/>
  <c r="J7" i="23"/>
  <c r="M7" i="23" s="1"/>
  <c r="H7" i="23"/>
  <c r="K7" i="23" s="1"/>
  <c r="L7" i="23" s="1"/>
  <c r="G7" i="23"/>
  <c r="F7" i="23"/>
  <c r="AB6" i="23"/>
  <c r="Z6" i="23"/>
  <c r="V6" i="23"/>
  <c r="Y6" i="23" s="1"/>
  <c r="T6" i="23"/>
  <c r="W6" i="23" s="1"/>
  <c r="X6" i="23" s="1"/>
  <c r="P6" i="23"/>
  <c r="S6" i="23" s="1"/>
  <c r="N6" i="23"/>
  <c r="Q6" i="23" s="1"/>
  <c r="R6" i="23" s="1"/>
  <c r="J6" i="23"/>
  <c r="M6" i="23" s="1"/>
  <c r="H6" i="23"/>
  <c r="K6" i="23" s="1"/>
  <c r="L6" i="23" s="1"/>
  <c r="G6" i="23"/>
  <c r="F6" i="23"/>
  <c r="AB6" i="32"/>
  <c r="Z6" i="32"/>
  <c r="V6" i="32"/>
  <c r="T6" i="32"/>
  <c r="P6" i="32"/>
  <c r="N6" i="32"/>
  <c r="J6" i="32"/>
  <c r="H6" i="32"/>
  <c r="F6" i="32"/>
  <c r="G6" i="32"/>
  <c r="AB6" i="31"/>
  <c r="Z6" i="31"/>
  <c r="V6" i="31"/>
  <c r="T6" i="31"/>
  <c r="P6" i="31"/>
  <c r="N6" i="31"/>
  <c r="J6" i="31"/>
  <c r="H6" i="31"/>
  <c r="G6" i="31"/>
  <c r="F6" i="31"/>
  <c r="AH6" i="13"/>
  <c r="AF6" i="13"/>
  <c r="V6" i="13"/>
  <c r="T6" i="13"/>
  <c r="P6" i="13"/>
  <c r="N6" i="13"/>
  <c r="J6" i="13"/>
  <c r="H6" i="13"/>
  <c r="G6" i="13"/>
  <c r="F6" i="13"/>
  <c r="AB7" i="44"/>
  <c r="Z7" i="44"/>
  <c r="V7" i="44"/>
  <c r="T7" i="44"/>
  <c r="P7" i="44"/>
  <c r="N7" i="44"/>
  <c r="J7" i="44"/>
  <c r="H7" i="44"/>
  <c r="G7" i="44"/>
  <c r="F7" i="44"/>
  <c r="AB6" i="42"/>
  <c r="Z6" i="42"/>
  <c r="V6" i="42"/>
  <c r="T6" i="42"/>
  <c r="P6" i="42"/>
  <c r="N6" i="42"/>
  <c r="J6" i="42"/>
  <c r="H6" i="42"/>
  <c r="G6" i="42"/>
  <c r="F6" i="42"/>
  <c r="AB6" i="40"/>
  <c r="Z6" i="40"/>
  <c r="V6" i="40"/>
  <c r="T6" i="40"/>
  <c r="P6" i="40"/>
  <c r="N6" i="40"/>
  <c r="J6" i="40"/>
  <c r="H6" i="40"/>
  <c r="G6" i="40"/>
  <c r="F6" i="40"/>
  <c r="AB6" i="58"/>
  <c r="Z6" i="58"/>
  <c r="V6" i="58"/>
  <c r="T6" i="58"/>
  <c r="P6" i="58"/>
  <c r="N6" i="58"/>
  <c r="J6" i="58"/>
  <c r="H6" i="58"/>
  <c r="G6" i="58"/>
  <c r="F6" i="58"/>
  <c r="AB6" i="57"/>
  <c r="Z6" i="57"/>
  <c r="V6" i="57"/>
  <c r="T6" i="57"/>
  <c r="P6" i="57"/>
  <c r="N6" i="57"/>
  <c r="J6" i="57"/>
  <c r="H6" i="57"/>
  <c r="G6" i="57"/>
  <c r="F6" i="57"/>
  <c r="V6" i="56"/>
  <c r="T6" i="56"/>
  <c r="P6" i="56"/>
  <c r="N6" i="56"/>
  <c r="J6" i="56"/>
  <c r="H6" i="56"/>
  <c r="G6" i="56"/>
  <c r="AB6" i="56"/>
  <c r="Z6" i="56"/>
  <c r="F6" i="56"/>
  <c r="B7" i="71" l="1"/>
  <c r="C7" i="71"/>
  <c r="B10" i="71"/>
  <c r="B8" i="71"/>
  <c r="C9" i="71"/>
  <c r="D10" i="71"/>
  <c r="D10" i="69"/>
  <c r="B6" i="71"/>
  <c r="D9" i="71"/>
  <c r="K12" i="44"/>
  <c r="L12" i="44" s="1"/>
  <c r="X6" i="69"/>
  <c r="Y6" i="69" s="1"/>
  <c r="V6" i="70"/>
  <c r="K11" i="42"/>
  <c r="L11" i="42" s="1"/>
  <c r="Q11" i="42"/>
  <c r="R11" i="42" s="1"/>
  <c r="O11" i="44"/>
  <c r="I11" i="44"/>
  <c r="U11" i="42"/>
  <c r="Q13" i="44"/>
  <c r="R13" i="44" s="1"/>
  <c r="U11" i="44"/>
  <c r="W12" i="44"/>
  <c r="X12" i="44" s="1"/>
  <c r="P6" i="73"/>
  <c r="O12" i="44"/>
  <c r="AC8" i="45"/>
  <c r="AB9" i="62"/>
  <c r="AB6" i="73"/>
  <c r="V6" i="73"/>
  <c r="J6" i="73"/>
  <c r="R6" i="70"/>
  <c r="S6" i="70" s="1"/>
  <c r="AA7" i="45"/>
  <c r="P6" i="71"/>
  <c r="J6" i="71"/>
  <c r="J6" i="70"/>
  <c r="P7" i="71"/>
  <c r="J7" i="71"/>
  <c r="P7" i="70"/>
  <c r="X7" i="70"/>
  <c r="Y7" i="70" s="1"/>
  <c r="J7" i="70"/>
  <c r="P6" i="69"/>
  <c r="J6" i="69"/>
  <c r="V7" i="18" l="1"/>
  <c r="T7" i="18"/>
  <c r="P7" i="18"/>
  <c r="N7" i="18"/>
  <c r="J7" i="18"/>
  <c r="H7" i="18"/>
  <c r="AB7" i="18"/>
  <c r="Z7" i="18"/>
  <c r="G7" i="18"/>
  <c r="F7" i="18"/>
  <c r="AI23" i="62" l="1"/>
  <c r="AG23" i="62"/>
  <c r="Q23" i="62"/>
  <c r="O23" i="62"/>
  <c r="K23" i="62"/>
  <c r="I23" i="62"/>
  <c r="H23" i="62"/>
  <c r="G23" i="62"/>
  <c r="F23" i="62"/>
  <c r="AI22" i="62"/>
  <c r="AG22" i="62"/>
  <c r="W22" i="62"/>
  <c r="U22" i="62"/>
  <c r="Q22" i="62"/>
  <c r="O22" i="62"/>
  <c r="K22" i="62"/>
  <c r="I22" i="62"/>
  <c r="H22" i="62"/>
  <c r="G22" i="62"/>
  <c r="F22" i="62"/>
  <c r="AH6" i="45"/>
  <c r="AF6" i="45"/>
  <c r="V6" i="45"/>
  <c r="Y6" i="45" s="1"/>
  <c r="T6" i="45"/>
  <c r="P6" i="45"/>
  <c r="N6" i="45"/>
  <c r="J6" i="45"/>
  <c r="H6" i="45"/>
  <c r="G6" i="45"/>
  <c r="F6" i="45"/>
  <c r="AB6" i="47"/>
  <c r="Z6" i="47"/>
  <c r="V6" i="47"/>
  <c r="T6" i="47"/>
  <c r="P6" i="47"/>
  <c r="N6" i="47"/>
  <c r="J6" i="47"/>
  <c r="H6" i="47"/>
  <c r="G6" i="47"/>
  <c r="F6" i="47"/>
  <c r="AB6" i="43"/>
  <c r="Z6" i="43"/>
  <c r="V6" i="43"/>
  <c r="T6" i="43"/>
  <c r="P6" i="43"/>
  <c r="N6" i="43"/>
  <c r="J6" i="43"/>
  <c r="H6" i="43"/>
  <c r="G6" i="43"/>
  <c r="F6" i="43"/>
  <c r="AI21" i="62"/>
  <c r="AG21" i="62"/>
  <c r="W21" i="62"/>
  <c r="U21" i="62"/>
  <c r="Q21" i="62"/>
  <c r="O21" i="62"/>
  <c r="K21" i="62"/>
  <c r="I21" i="62"/>
  <c r="H21" i="62"/>
  <c r="G21" i="62"/>
  <c r="F21" i="62"/>
  <c r="AI20" i="62"/>
  <c r="AG20" i="62"/>
  <c r="W20" i="62"/>
  <c r="U20" i="62"/>
  <c r="Q20" i="62"/>
  <c r="O20" i="62"/>
  <c r="K20" i="62"/>
  <c r="I20" i="62"/>
  <c r="H20" i="62"/>
  <c r="G20" i="62"/>
  <c r="F20" i="62"/>
  <c r="AC22" i="61"/>
  <c r="AA22" i="61"/>
  <c r="W22" i="61"/>
  <c r="U22" i="61"/>
  <c r="Q22" i="61"/>
  <c r="O22" i="61"/>
  <c r="K22" i="61"/>
  <c r="I22" i="61"/>
  <c r="H22" i="61"/>
  <c r="G22" i="61"/>
  <c r="F22" i="61"/>
  <c r="AC21" i="61"/>
  <c r="AA21" i="61"/>
  <c r="W21" i="61"/>
  <c r="U21" i="61"/>
  <c r="Q21" i="61"/>
  <c r="O21" i="61"/>
  <c r="K21" i="61"/>
  <c r="I21" i="61"/>
  <c r="H21" i="61"/>
  <c r="G21" i="61"/>
  <c r="F21" i="61"/>
  <c r="AC20" i="61"/>
  <c r="AA20" i="61"/>
  <c r="W20" i="61"/>
  <c r="U20" i="61"/>
  <c r="Q20" i="61"/>
  <c r="O20" i="61"/>
  <c r="K20" i="61"/>
  <c r="I20" i="61"/>
  <c r="H20" i="61"/>
  <c r="G20" i="61"/>
  <c r="F20" i="61"/>
  <c r="AC20" i="60"/>
  <c r="AA20" i="60"/>
  <c r="W20" i="60"/>
  <c r="U20" i="60"/>
  <c r="Q20" i="60"/>
  <c r="O20" i="60"/>
  <c r="K20" i="60"/>
  <c r="I20" i="60"/>
  <c r="H20" i="60"/>
  <c r="G20" i="60"/>
  <c r="F20" i="60"/>
  <c r="AC20" i="59"/>
  <c r="AA20" i="59"/>
  <c r="W20" i="59"/>
  <c r="U20" i="59"/>
  <c r="Q20" i="59"/>
  <c r="O20" i="59"/>
  <c r="K20" i="59"/>
  <c r="I20" i="59"/>
  <c r="H20" i="59"/>
  <c r="G20" i="59"/>
  <c r="F20" i="59"/>
  <c r="AB6" i="18"/>
  <c r="Z6" i="18"/>
  <c r="V6" i="18"/>
  <c r="T6" i="18"/>
  <c r="P6" i="18"/>
  <c r="N6" i="18"/>
  <c r="J6" i="18"/>
  <c r="H6" i="18"/>
  <c r="G6" i="18"/>
  <c r="F6" i="18"/>
  <c r="G6" i="44"/>
  <c r="F6" i="44"/>
  <c r="V6" i="44"/>
  <c r="T6" i="44"/>
  <c r="P6" i="44"/>
  <c r="N6" i="44"/>
  <c r="J6" i="44"/>
  <c r="H6" i="44"/>
  <c r="AB6" i="44"/>
  <c r="Z6" i="44"/>
  <c r="AB6" i="67" l="1"/>
  <c r="Z6" i="67"/>
  <c r="AA6" i="67" s="1"/>
  <c r="V6" i="67"/>
  <c r="Y6" i="67" s="1"/>
  <c r="T6" i="67"/>
  <c r="W6" i="67" s="1"/>
  <c r="X6" i="67" s="1"/>
  <c r="P6" i="67"/>
  <c r="S6" i="67" s="1"/>
  <c r="J6" i="67"/>
  <c r="M6" i="67" s="1"/>
  <c r="H6" i="67"/>
  <c r="K6" i="67" s="1"/>
  <c r="L6" i="67" s="1"/>
  <c r="N6" i="67"/>
  <c r="Q6" i="67" s="1"/>
  <c r="R6" i="67" s="1"/>
  <c r="G6" i="67"/>
  <c r="F6" i="67"/>
  <c r="AB6" i="66"/>
  <c r="Z6" i="66"/>
  <c r="AA6" i="66" s="1"/>
  <c r="V6" i="66"/>
  <c r="Y6" i="66" s="1"/>
  <c r="T6" i="66"/>
  <c r="W6" i="66" s="1"/>
  <c r="X6" i="66" s="1"/>
  <c r="P6" i="66"/>
  <c r="S6" i="66" s="1"/>
  <c r="J6" i="66"/>
  <c r="M6" i="66" s="1"/>
  <c r="H6" i="66"/>
  <c r="K6" i="66" s="1"/>
  <c r="L6" i="66" s="1"/>
  <c r="N6" i="66"/>
  <c r="Q6" i="66" s="1"/>
  <c r="R6" i="66" s="1"/>
  <c r="G6" i="66"/>
  <c r="F6" i="66"/>
  <c r="AB6" i="65"/>
  <c r="Z6" i="65"/>
  <c r="AA6" i="65" s="1"/>
  <c r="V6" i="65"/>
  <c r="Y6" i="65" s="1"/>
  <c r="T6" i="65"/>
  <c r="W6" i="65" s="1"/>
  <c r="X6" i="65" s="1"/>
  <c r="P6" i="65"/>
  <c r="S6" i="65" s="1"/>
  <c r="J6" i="65"/>
  <c r="M6" i="65" s="1"/>
  <c r="H6" i="65"/>
  <c r="I6" i="65" s="1"/>
  <c r="N6" i="65"/>
  <c r="O6" i="65" s="1"/>
  <c r="G6" i="65"/>
  <c r="F6" i="65"/>
  <c r="C15" i="67"/>
  <c r="C10" i="67" s="1"/>
  <c r="C13" i="67"/>
  <c r="B13" i="67" s="1"/>
  <c r="AA10" i="67"/>
  <c r="Y10" i="67"/>
  <c r="W10" i="67"/>
  <c r="X10" i="67" s="1"/>
  <c r="U10" i="67"/>
  <c r="S10" i="67"/>
  <c r="Q10" i="67"/>
  <c r="R10" i="67" s="1"/>
  <c r="O10" i="67"/>
  <c r="M10" i="67"/>
  <c r="K10" i="67"/>
  <c r="L10" i="67" s="1"/>
  <c r="I10" i="67"/>
  <c r="D10" i="67"/>
  <c r="AA9" i="67"/>
  <c r="Y9" i="67"/>
  <c r="W9" i="67"/>
  <c r="X9" i="67" s="1"/>
  <c r="U9" i="67"/>
  <c r="S9" i="67"/>
  <c r="Q9" i="67"/>
  <c r="R9" i="67" s="1"/>
  <c r="O9" i="67"/>
  <c r="M9" i="67"/>
  <c r="K9" i="67"/>
  <c r="L9" i="67" s="1"/>
  <c r="I9" i="67"/>
  <c r="D9" i="67"/>
  <c r="AA8" i="67"/>
  <c r="Y8" i="67"/>
  <c r="W8" i="67"/>
  <c r="X8" i="67" s="1"/>
  <c r="U8" i="67"/>
  <c r="S8" i="67"/>
  <c r="Q8" i="67"/>
  <c r="R8" i="67" s="1"/>
  <c r="O8" i="67"/>
  <c r="M8" i="67"/>
  <c r="K8" i="67"/>
  <c r="L8" i="67" s="1"/>
  <c r="I8" i="67"/>
  <c r="D8" i="67"/>
  <c r="C8" i="67"/>
  <c r="B8" i="67"/>
  <c r="AA7" i="67"/>
  <c r="Y7" i="67"/>
  <c r="W7" i="67"/>
  <c r="X7" i="67" s="1"/>
  <c r="U7" i="67"/>
  <c r="S7" i="67"/>
  <c r="Q7" i="67"/>
  <c r="R7" i="67" s="1"/>
  <c r="O7" i="67"/>
  <c r="M7" i="67"/>
  <c r="K7" i="67"/>
  <c r="L7" i="67" s="1"/>
  <c r="I7" i="67"/>
  <c r="B7" i="67"/>
  <c r="B6" i="67"/>
  <c r="C15" i="66"/>
  <c r="C10" i="66" s="1"/>
  <c r="C13" i="66"/>
  <c r="B13" i="66" s="1"/>
  <c r="AA10" i="66"/>
  <c r="Y10" i="66"/>
  <c r="W10" i="66"/>
  <c r="X10" i="66" s="1"/>
  <c r="U10" i="66"/>
  <c r="S10" i="66"/>
  <c r="Q10" i="66"/>
  <c r="R10" i="66" s="1"/>
  <c r="O10" i="66"/>
  <c r="M10" i="66"/>
  <c r="K10" i="66"/>
  <c r="L10" i="66" s="1"/>
  <c r="I10" i="66"/>
  <c r="D10" i="66"/>
  <c r="AA9" i="66"/>
  <c r="Y9" i="66"/>
  <c r="W9" i="66"/>
  <c r="X9" i="66" s="1"/>
  <c r="U9" i="66"/>
  <c r="Q9" i="66"/>
  <c r="R9" i="66" s="1"/>
  <c r="S9" i="66"/>
  <c r="O9" i="66"/>
  <c r="M9" i="66"/>
  <c r="K9" i="66"/>
  <c r="L9" i="66" s="1"/>
  <c r="AA8" i="66"/>
  <c r="Y8" i="66"/>
  <c r="W8" i="66"/>
  <c r="X8" i="66" s="1"/>
  <c r="U8" i="66"/>
  <c r="S8" i="66"/>
  <c r="Q8" i="66"/>
  <c r="R8" i="66" s="1"/>
  <c r="O8" i="66"/>
  <c r="K8" i="66"/>
  <c r="L8" i="66" s="1"/>
  <c r="M8" i="66"/>
  <c r="I8" i="66"/>
  <c r="D8" i="66"/>
  <c r="C8" i="66"/>
  <c r="AA7" i="66"/>
  <c r="Y7" i="66"/>
  <c r="W7" i="66"/>
  <c r="X7" i="66" s="1"/>
  <c r="S7" i="66"/>
  <c r="Q7" i="66"/>
  <c r="R7" i="66" s="1"/>
  <c r="O7" i="66"/>
  <c r="M7" i="66"/>
  <c r="K7" i="66"/>
  <c r="L7" i="66" s="1"/>
  <c r="I7" i="66"/>
  <c r="D7" i="66"/>
  <c r="C7" i="66"/>
  <c r="B7" i="66"/>
  <c r="D6" i="66"/>
  <c r="B6" i="66"/>
  <c r="C15" i="65"/>
  <c r="B6" i="65" s="1"/>
  <c r="C13" i="65"/>
  <c r="B13" i="65" s="1"/>
  <c r="AA10" i="65"/>
  <c r="Y10" i="65"/>
  <c r="X10" i="65"/>
  <c r="W10" i="65"/>
  <c r="U10" i="65"/>
  <c r="S10" i="65"/>
  <c r="R10" i="65"/>
  <c r="Q10" i="65"/>
  <c r="O10" i="65"/>
  <c r="M10" i="65"/>
  <c r="L10" i="65"/>
  <c r="K10" i="65"/>
  <c r="I10" i="65"/>
  <c r="C10" i="65"/>
  <c r="AA9" i="65"/>
  <c r="Y9" i="65"/>
  <c r="X9" i="65"/>
  <c r="W9" i="65"/>
  <c r="U9" i="65"/>
  <c r="S9" i="65"/>
  <c r="R9" i="65"/>
  <c r="Q9" i="65"/>
  <c r="O9" i="65"/>
  <c r="M9" i="65"/>
  <c r="L9" i="65"/>
  <c r="K9" i="65"/>
  <c r="I9" i="65"/>
  <c r="C9" i="65"/>
  <c r="AA8" i="65"/>
  <c r="Y8" i="65"/>
  <c r="X8" i="65"/>
  <c r="W8" i="65"/>
  <c r="U8" i="65"/>
  <c r="S8" i="65"/>
  <c r="R8" i="65"/>
  <c r="Q8" i="65"/>
  <c r="O8" i="65"/>
  <c r="M8" i="65"/>
  <c r="L8" i="65"/>
  <c r="K8" i="65"/>
  <c r="I8" i="65"/>
  <c r="D8" i="65"/>
  <c r="C8" i="65"/>
  <c r="B8" i="65"/>
  <c r="AA7" i="65"/>
  <c r="Y7" i="65"/>
  <c r="X7" i="65"/>
  <c r="W7" i="65"/>
  <c r="U7" i="65"/>
  <c r="S7" i="65"/>
  <c r="Q7" i="65"/>
  <c r="R7" i="65" s="1"/>
  <c r="O7" i="65"/>
  <c r="M7" i="65"/>
  <c r="K7" i="65"/>
  <c r="L7" i="65" s="1"/>
  <c r="I7" i="65"/>
  <c r="B7" i="65"/>
  <c r="D6" i="65"/>
  <c r="C6" i="65"/>
  <c r="AB24" i="59"/>
  <c r="AB23" i="59"/>
  <c r="AB22" i="59"/>
  <c r="AB21" i="59"/>
  <c r="AB20" i="59"/>
  <c r="V20" i="59"/>
  <c r="V24" i="59"/>
  <c r="V23" i="59"/>
  <c r="V22" i="59"/>
  <c r="V21" i="59"/>
  <c r="P24" i="59"/>
  <c r="P23" i="59"/>
  <c r="P22" i="59"/>
  <c r="P21" i="59"/>
  <c r="J24" i="59"/>
  <c r="J23" i="59"/>
  <c r="J22" i="59"/>
  <c r="J21" i="59"/>
  <c r="J20" i="59"/>
  <c r="P20" i="59"/>
  <c r="B9" i="65" l="1"/>
  <c r="B10" i="65"/>
  <c r="C7" i="65"/>
  <c r="D9" i="65"/>
  <c r="D10" i="65"/>
  <c r="B10" i="67"/>
  <c r="D7" i="65"/>
  <c r="D6" i="67"/>
  <c r="D7" i="67"/>
  <c r="B9" i="67"/>
  <c r="I6" i="66"/>
  <c r="U6" i="65"/>
  <c r="U6" i="67"/>
  <c r="O6" i="67"/>
  <c r="I6" i="67"/>
  <c r="U6" i="66"/>
  <c r="Q6" i="65"/>
  <c r="R6" i="65" s="1"/>
  <c r="K6" i="65"/>
  <c r="L6" i="65" s="1"/>
  <c r="C6" i="67"/>
  <c r="C7" i="67"/>
  <c r="C9" i="67"/>
  <c r="O6" i="66"/>
  <c r="U7" i="66"/>
  <c r="B8" i="66"/>
  <c r="I9" i="66"/>
  <c r="B9" i="66"/>
  <c r="C9" i="66"/>
  <c r="B10" i="66"/>
  <c r="D9" i="66"/>
  <c r="C6" i="66"/>
  <c r="AB7" i="59" l="1"/>
  <c r="Z7" i="59"/>
  <c r="X7" i="59"/>
  <c r="Y7" i="59" s="1"/>
  <c r="T7" i="59"/>
  <c r="R7" i="59"/>
  <c r="S7" i="59" s="1"/>
  <c r="N7" i="59"/>
  <c r="J7" i="59"/>
  <c r="Z6" i="59"/>
  <c r="X6" i="59"/>
  <c r="Y6" i="59" s="1"/>
  <c r="T6" i="59"/>
  <c r="N6" i="59"/>
  <c r="J6" i="59"/>
  <c r="R6" i="59"/>
  <c r="S6" i="59" s="1"/>
  <c r="AB6" i="59"/>
  <c r="AB7" i="60"/>
  <c r="Z7" i="60"/>
  <c r="X7" i="60"/>
  <c r="Y7" i="60" s="1"/>
  <c r="T7" i="60"/>
  <c r="P7" i="60"/>
  <c r="N7" i="60"/>
  <c r="L7" i="60"/>
  <c r="M7" i="60" s="1"/>
  <c r="Z6" i="61"/>
  <c r="X6" i="61"/>
  <c r="Y6" i="61" s="1"/>
  <c r="T6" i="61"/>
  <c r="P6" i="61"/>
  <c r="N6" i="61"/>
  <c r="L6" i="61"/>
  <c r="M6" i="61" s="1"/>
  <c r="AB6" i="61"/>
  <c r="Z20" i="62"/>
  <c r="X20" i="62"/>
  <c r="Y20" i="62" s="1"/>
  <c r="T20" i="62"/>
  <c r="R20" i="62"/>
  <c r="S20" i="62" s="1"/>
  <c r="N20" i="62"/>
  <c r="L20" i="62"/>
  <c r="M20" i="62" s="1"/>
  <c r="AH20" i="62"/>
  <c r="H18" i="59"/>
  <c r="H4" i="59"/>
  <c r="G4" i="59"/>
  <c r="H4" i="63"/>
  <c r="G4" i="63"/>
  <c r="G18" i="63"/>
  <c r="H18" i="63"/>
  <c r="AB24" i="63"/>
  <c r="Z24" i="63"/>
  <c r="X24" i="63"/>
  <c r="Y24" i="63" s="1"/>
  <c r="V24" i="63"/>
  <c r="T24" i="63"/>
  <c r="R24" i="63"/>
  <c r="S24" i="63" s="1"/>
  <c r="P24" i="63"/>
  <c r="N24" i="63"/>
  <c r="L24" i="63"/>
  <c r="M24" i="63" s="1"/>
  <c r="J24" i="63"/>
  <c r="AB23" i="63"/>
  <c r="Z23" i="63"/>
  <c r="X23" i="63"/>
  <c r="Y23" i="63" s="1"/>
  <c r="V23" i="63"/>
  <c r="T23" i="63"/>
  <c r="R23" i="63"/>
  <c r="S23" i="63" s="1"/>
  <c r="P23" i="63"/>
  <c r="N23" i="63"/>
  <c r="L23" i="63"/>
  <c r="M23" i="63" s="1"/>
  <c r="J23" i="63"/>
  <c r="AB22" i="63"/>
  <c r="Z22" i="63"/>
  <c r="X22" i="63"/>
  <c r="Y22" i="63" s="1"/>
  <c r="V22" i="63"/>
  <c r="T22" i="63"/>
  <c r="R22" i="63"/>
  <c r="S22" i="63" s="1"/>
  <c r="P22" i="63"/>
  <c r="N22" i="63"/>
  <c r="L22" i="63"/>
  <c r="M22" i="63" s="1"/>
  <c r="J22" i="63"/>
  <c r="AB21" i="63"/>
  <c r="Z21" i="63"/>
  <c r="X21" i="63"/>
  <c r="Y21" i="63" s="1"/>
  <c r="V21" i="63"/>
  <c r="T21" i="63"/>
  <c r="S21" i="63"/>
  <c r="R21" i="63"/>
  <c r="P21" i="63"/>
  <c r="N21" i="63"/>
  <c r="L21" i="63"/>
  <c r="M21" i="63" s="1"/>
  <c r="J21" i="63"/>
  <c r="AB20" i="63"/>
  <c r="Z20" i="63"/>
  <c r="X20" i="63"/>
  <c r="Y20" i="63" s="1"/>
  <c r="V20" i="63"/>
  <c r="T20" i="63"/>
  <c r="R20" i="63"/>
  <c r="S20" i="63" s="1"/>
  <c r="P20" i="63"/>
  <c r="N20" i="63"/>
  <c r="L20" i="63"/>
  <c r="M20" i="63" s="1"/>
  <c r="J20" i="63"/>
  <c r="C15" i="63"/>
  <c r="B10" i="63" s="1"/>
  <c r="C13" i="63"/>
  <c r="B13" i="63" s="1"/>
  <c r="AB10" i="63"/>
  <c r="Z10" i="63"/>
  <c r="X10" i="63"/>
  <c r="Y10" i="63" s="1"/>
  <c r="V10" i="63"/>
  <c r="T10" i="63"/>
  <c r="R10" i="63"/>
  <c r="S10" i="63" s="1"/>
  <c r="P10" i="63"/>
  <c r="N10" i="63"/>
  <c r="L10" i="63"/>
  <c r="M10" i="63" s="1"/>
  <c r="J10" i="63"/>
  <c r="AB9" i="63"/>
  <c r="Z9" i="63"/>
  <c r="X9" i="63"/>
  <c r="Y9" i="63" s="1"/>
  <c r="V9" i="63"/>
  <c r="T9" i="63"/>
  <c r="R9" i="63"/>
  <c r="S9" i="63" s="1"/>
  <c r="P9" i="63"/>
  <c r="N9" i="63"/>
  <c r="L9" i="63"/>
  <c r="M9" i="63" s="1"/>
  <c r="J9" i="63"/>
  <c r="C9" i="63"/>
  <c r="AB8" i="63"/>
  <c r="Z8" i="63"/>
  <c r="X8" i="63"/>
  <c r="Y8" i="63" s="1"/>
  <c r="V8" i="63"/>
  <c r="T8" i="63"/>
  <c r="R8" i="63"/>
  <c r="S8" i="63" s="1"/>
  <c r="P8" i="63"/>
  <c r="N8" i="63"/>
  <c r="L8" i="63"/>
  <c r="M8" i="63" s="1"/>
  <c r="J8" i="63"/>
  <c r="D8" i="63"/>
  <c r="C8" i="63"/>
  <c r="AB7" i="63"/>
  <c r="Z7" i="63"/>
  <c r="X7" i="63"/>
  <c r="Y7" i="63" s="1"/>
  <c r="V7" i="63"/>
  <c r="T7" i="63"/>
  <c r="R7" i="63"/>
  <c r="S7" i="63" s="1"/>
  <c r="P7" i="63"/>
  <c r="N7" i="63"/>
  <c r="L7" i="63"/>
  <c r="M7" i="63" s="1"/>
  <c r="J7" i="63"/>
  <c r="C7" i="63"/>
  <c r="AB6" i="63"/>
  <c r="Z6" i="63"/>
  <c r="X6" i="63"/>
  <c r="Y6" i="63" s="1"/>
  <c r="V6" i="63"/>
  <c r="T6" i="63"/>
  <c r="R6" i="63"/>
  <c r="S6" i="63" s="1"/>
  <c r="P6" i="63"/>
  <c r="N6" i="63"/>
  <c r="L6" i="63"/>
  <c r="M6" i="63" s="1"/>
  <c r="J6" i="63"/>
  <c r="H4" i="62"/>
  <c r="G4" i="62"/>
  <c r="G18" i="62"/>
  <c r="H18" i="62"/>
  <c r="AH24" i="62"/>
  <c r="Z24" i="62"/>
  <c r="X24" i="62"/>
  <c r="Y24" i="62" s="1"/>
  <c r="V24" i="62"/>
  <c r="T24" i="62"/>
  <c r="R24" i="62"/>
  <c r="S24" i="62" s="1"/>
  <c r="P24" i="62"/>
  <c r="N24" i="62"/>
  <c r="L24" i="62"/>
  <c r="M24" i="62" s="1"/>
  <c r="J24" i="62"/>
  <c r="AH23" i="62"/>
  <c r="Z23" i="62"/>
  <c r="X23" i="62"/>
  <c r="Y23" i="62" s="1"/>
  <c r="V23" i="62"/>
  <c r="T23" i="62"/>
  <c r="R23" i="62"/>
  <c r="S23" i="62" s="1"/>
  <c r="P23" i="62"/>
  <c r="N23" i="62"/>
  <c r="L23" i="62"/>
  <c r="M23" i="62" s="1"/>
  <c r="J23" i="62"/>
  <c r="AH22" i="62"/>
  <c r="Z22" i="62"/>
  <c r="X22" i="62"/>
  <c r="Y22" i="62" s="1"/>
  <c r="V22" i="62"/>
  <c r="T22" i="62"/>
  <c r="R22" i="62"/>
  <c r="S22" i="62" s="1"/>
  <c r="P22" i="62"/>
  <c r="N22" i="62"/>
  <c r="L22" i="62"/>
  <c r="M22" i="62" s="1"/>
  <c r="J22" i="62"/>
  <c r="AH21" i="62"/>
  <c r="Z21" i="62"/>
  <c r="X21" i="62"/>
  <c r="Y21" i="62" s="1"/>
  <c r="V21" i="62"/>
  <c r="T21" i="62"/>
  <c r="R21" i="62"/>
  <c r="S21" i="62" s="1"/>
  <c r="P21" i="62"/>
  <c r="N21" i="62"/>
  <c r="L21" i="62"/>
  <c r="M21" i="62" s="1"/>
  <c r="J21" i="62"/>
  <c r="C15" i="62"/>
  <c r="C10" i="62" s="1"/>
  <c r="C13" i="62"/>
  <c r="B13" i="62" s="1"/>
  <c r="AH10" i="62"/>
  <c r="Z10" i="62"/>
  <c r="X10" i="62"/>
  <c r="Y10" i="62" s="1"/>
  <c r="V10" i="62"/>
  <c r="T10" i="62"/>
  <c r="R10" i="62"/>
  <c r="S10" i="62" s="1"/>
  <c r="P10" i="62"/>
  <c r="N10" i="62"/>
  <c r="L10" i="62"/>
  <c r="M10" i="62" s="1"/>
  <c r="J10" i="62"/>
  <c r="D10" i="62"/>
  <c r="AH9" i="62"/>
  <c r="Z9" i="62"/>
  <c r="X9" i="62"/>
  <c r="Y9" i="62" s="1"/>
  <c r="R9" i="62"/>
  <c r="S9" i="62" s="1"/>
  <c r="T9" i="62"/>
  <c r="P9" i="62"/>
  <c r="N9" i="62"/>
  <c r="L9" i="62"/>
  <c r="M9" i="62" s="1"/>
  <c r="C9" i="62"/>
  <c r="AH8" i="62"/>
  <c r="Z8" i="62"/>
  <c r="X8" i="62"/>
  <c r="Y8" i="62" s="1"/>
  <c r="T8" i="62"/>
  <c r="R8" i="62"/>
  <c r="S8" i="62" s="1"/>
  <c r="N8" i="62"/>
  <c r="J8" i="62"/>
  <c r="D8" i="62"/>
  <c r="C8" i="62"/>
  <c r="B8" i="62"/>
  <c r="AH7" i="62"/>
  <c r="Z7" i="62"/>
  <c r="X7" i="62"/>
  <c r="Y7" i="62" s="1"/>
  <c r="T7" i="62"/>
  <c r="R7" i="62"/>
  <c r="S7" i="62" s="1"/>
  <c r="N7" i="62"/>
  <c r="L7" i="62"/>
  <c r="M7" i="62" s="1"/>
  <c r="D7" i="62"/>
  <c r="C7" i="62"/>
  <c r="B7" i="62"/>
  <c r="AH6" i="62"/>
  <c r="Z6" i="62"/>
  <c r="V6" i="62"/>
  <c r="T6" i="62"/>
  <c r="R6" i="62"/>
  <c r="S6" i="62" s="1"/>
  <c r="N6" i="62"/>
  <c r="L6" i="62"/>
  <c r="M6" i="62" s="1"/>
  <c r="D6" i="62"/>
  <c r="C6" i="62"/>
  <c r="B6" i="62"/>
  <c r="H4" i="61"/>
  <c r="G4" i="61"/>
  <c r="G18" i="61"/>
  <c r="H18" i="61"/>
  <c r="AB24" i="61"/>
  <c r="Z24" i="61"/>
  <c r="X24" i="61"/>
  <c r="Y24" i="61" s="1"/>
  <c r="V24" i="61"/>
  <c r="T24" i="61"/>
  <c r="R24" i="61"/>
  <c r="S24" i="61" s="1"/>
  <c r="P24" i="61"/>
  <c r="N24" i="61"/>
  <c r="L24" i="61"/>
  <c r="M24" i="61" s="1"/>
  <c r="J24" i="61"/>
  <c r="AB23" i="61"/>
  <c r="Z23" i="61"/>
  <c r="X23" i="61"/>
  <c r="Y23" i="61" s="1"/>
  <c r="V23" i="61"/>
  <c r="T23" i="61"/>
  <c r="R23" i="61"/>
  <c r="S23" i="61" s="1"/>
  <c r="P23" i="61"/>
  <c r="N23" i="61"/>
  <c r="M23" i="61"/>
  <c r="L23" i="61"/>
  <c r="J23" i="61"/>
  <c r="AB22" i="61"/>
  <c r="Z22" i="61"/>
  <c r="X22" i="61"/>
  <c r="Y22" i="61" s="1"/>
  <c r="V22" i="61"/>
  <c r="T22" i="61"/>
  <c r="R22" i="61"/>
  <c r="S22" i="61" s="1"/>
  <c r="P22" i="61"/>
  <c r="N22" i="61"/>
  <c r="L22" i="61"/>
  <c r="M22" i="61" s="1"/>
  <c r="J22" i="61"/>
  <c r="AB21" i="61"/>
  <c r="Z21" i="61"/>
  <c r="X21" i="61"/>
  <c r="Y21" i="61" s="1"/>
  <c r="V21" i="61"/>
  <c r="T21" i="61"/>
  <c r="R21" i="61"/>
  <c r="S21" i="61" s="1"/>
  <c r="P21" i="61"/>
  <c r="N21" i="61"/>
  <c r="L21" i="61"/>
  <c r="M21" i="61" s="1"/>
  <c r="J21" i="61"/>
  <c r="AB20" i="61"/>
  <c r="Z20" i="61"/>
  <c r="X20" i="61"/>
  <c r="Y20" i="61" s="1"/>
  <c r="T20" i="61"/>
  <c r="R20" i="61"/>
  <c r="S20" i="61" s="1"/>
  <c r="P20" i="61"/>
  <c r="N20" i="61"/>
  <c r="L20" i="61"/>
  <c r="M20" i="61" s="1"/>
  <c r="J20" i="61"/>
  <c r="C15" i="61"/>
  <c r="C10" i="61" s="1"/>
  <c r="C13" i="61"/>
  <c r="B13" i="61" s="1"/>
  <c r="AB10" i="61"/>
  <c r="Z10" i="61"/>
  <c r="X10" i="61"/>
  <c r="Y10" i="61" s="1"/>
  <c r="V10" i="61"/>
  <c r="T10" i="61"/>
  <c r="R10" i="61"/>
  <c r="S10" i="61" s="1"/>
  <c r="P10" i="61"/>
  <c r="N10" i="61"/>
  <c r="L10" i="61"/>
  <c r="M10" i="61" s="1"/>
  <c r="J10" i="61"/>
  <c r="D10" i="61"/>
  <c r="AB9" i="61"/>
  <c r="Z9" i="61"/>
  <c r="X9" i="61"/>
  <c r="Y9" i="61" s="1"/>
  <c r="V9" i="61"/>
  <c r="T9" i="61"/>
  <c r="R9" i="61"/>
  <c r="S9" i="61" s="1"/>
  <c r="P9" i="61"/>
  <c r="N9" i="61"/>
  <c r="L9" i="61"/>
  <c r="M9" i="61" s="1"/>
  <c r="J9" i="61"/>
  <c r="D9" i="61"/>
  <c r="C9" i="61"/>
  <c r="AB8" i="61"/>
  <c r="Z8" i="61"/>
  <c r="X8" i="61"/>
  <c r="Y8" i="61" s="1"/>
  <c r="T8" i="61"/>
  <c r="P8" i="61"/>
  <c r="N8" i="61"/>
  <c r="L8" i="61"/>
  <c r="M8" i="61" s="1"/>
  <c r="D8" i="61"/>
  <c r="C8" i="61"/>
  <c r="B8" i="61"/>
  <c r="AB7" i="61"/>
  <c r="Z7" i="61"/>
  <c r="X7" i="61"/>
  <c r="Y7" i="61" s="1"/>
  <c r="T7" i="61"/>
  <c r="R7" i="61"/>
  <c r="S7" i="61" s="1"/>
  <c r="L7" i="61"/>
  <c r="M7" i="61" s="1"/>
  <c r="N7" i="61"/>
  <c r="J7" i="61"/>
  <c r="D7" i="61"/>
  <c r="C7" i="61"/>
  <c r="B7" i="61"/>
  <c r="D6" i="61"/>
  <c r="C6" i="61"/>
  <c r="B6" i="61"/>
  <c r="AB6" i="60"/>
  <c r="Z6" i="60"/>
  <c r="X6" i="60"/>
  <c r="Y6" i="60" s="1"/>
  <c r="T6" i="60"/>
  <c r="R6" i="60"/>
  <c r="S6" i="60" s="1"/>
  <c r="N6" i="60"/>
  <c r="L6" i="60"/>
  <c r="M6" i="60" s="1"/>
  <c r="H4" i="60"/>
  <c r="G4" i="60"/>
  <c r="H18" i="60"/>
  <c r="G18" i="60"/>
  <c r="L20" i="60"/>
  <c r="M20" i="60" s="1"/>
  <c r="N20" i="60"/>
  <c r="R20" i="60"/>
  <c r="S20" i="60" s="1"/>
  <c r="T20" i="60"/>
  <c r="X20" i="60"/>
  <c r="Y20" i="60" s="1"/>
  <c r="Z20" i="60"/>
  <c r="AB20" i="60"/>
  <c r="AB24" i="60"/>
  <c r="Z24" i="60"/>
  <c r="X24" i="60"/>
  <c r="Y24" i="60" s="1"/>
  <c r="V24" i="60"/>
  <c r="T24" i="60"/>
  <c r="R24" i="60"/>
  <c r="S24" i="60" s="1"/>
  <c r="P24" i="60"/>
  <c r="N24" i="60"/>
  <c r="L24" i="60"/>
  <c r="M24" i="60" s="1"/>
  <c r="J24" i="60"/>
  <c r="AB23" i="60"/>
  <c r="Z23" i="60"/>
  <c r="X23" i="60"/>
  <c r="Y23" i="60" s="1"/>
  <c r="V23" i="60"/>
  <c r="T23" i="60"/>
  <c r="R23" i="60"/>
  <c r="S23" i="60" s="1"/>
  <c r="P23" i="60"/>
  <c r="N23" i="60"/>
  <c r="L23" i="60"/>
  <c r="M23" i="60" s="1"/>
  <c r="J23" i="60"/>
  <c r="AB22" i="60"/>
  <c r="Z22" i="60"/>
  <c r="X22" i="60"/>
  <c r="Y22" i="60" s="1"/>
  <c r="V22" i="60"/>
  <c r="T22" i="60"/>
  <c r="R22" i="60"/>
  <c r="S22" i="60" s="1"/>
  <c r="P22" i="60"/>
  <c r="N22" i="60"/>
  <c r="L22" i="60"/>
  <c r="M22" i="60" s="1"/>
  <c r="J22" i="60"/>
  <c r="AB21" i="60"/>
  <c r="Z21" i="60"/>
  <c r="X21" i="60"/>
  <c r="Y21" i="60" s="1"/>
  <c r="V21" i="60"/>
  <c r="T21" i="60"/>
  <c r="R21" i="60"/>
  <c r="S21" i="60" s="1"/>
  <c r="P21" i="60"/>
  <c r="N21" i="60"/>
  <c r="L21" i="60"/>
  <c r="M21" i="60" s="1"/>
  <c r="J21" i="60"/>
  <c r="J20" i="60"/>
  <c r="C15" i="60"/>
  <c r="D9" i="60" s="1"/>
  <c r="C13" i="60"/>
  <c r="B13" i="60" s="1"/>
  <c r="AB10" i="60"/>
  <c r="Z10" i="60"/>
  <c r="X10" i="60"/>
  <c r="Y10" i="60" s="1"/>
  <c r="V10" i="60"/>
  <c r="T10" i="60"/>
  <c r="R10" i="60"/>
  <c r="S10" i="60" s="1"/>
  <c r="P10" i="60"/>
  <c r="N10" i="60"/>
  <c r="L10" i="60"/>
  <c r="M10" i="60" s="1"/>
  <c r="J10" i="60"/>
  <c r="D10" i="60"/>
  <c r="AB9" i="60"/>
  <c r="Z9" i="60"/>
  <c r="X9" i="60"/>
  <c r="Y9" i="60" s="1"/>
  <c r="V9" i="60"/>
  <c r="T9" i="60"/>
  <c r="R9" i="60"/>
  <c r="S9" i="60" s="1"/>
  <c r="P9" i="60"/>
  <c r="N9" i="60"/>
  <c r="L9" i="60"/>
  <c r="M9" i="60" s="1"/>
  <c r="J9" i="60"/>
  <c r="AB8" i="60"/>
  <c r="Z8" i="60"/>
  <c r="X8" i="60"/>
  <c r="Y8" i="60" s="1"/>
  <c r="V8" i="60"/>
  <c r="T8" i="60"/>
  <c r="R8" i="60"/>
  <c r="S8" i="60" s="1"/>
  <c r="P8" i="60"/>
  <c r="N8" i="60"/>
  <c r="L8" i="60"/>
  <c r="M8" i="60" s="1"/>
  <c r="J8" i="60"/>
  <c r="D8" i="60"/>
  <c r="C8" i="60"/>
  <c r="B8" i="60"/>
  <c r="C7" i="60"/>
  <c r="C6" i="60"/>
  <c r="C15" i="59"/>
  <c r="B10" i="59" s="1"/>
  <c r="C13" i="59"/>
  <c r="B13" i="59" s="1"/>
  <c r="AB10" i="59"/>
  <c r="Z10" i="59"/>
  <c r="X10" i="59"/>
  <c r="Y10" i="59" s="1"/>
  <c r="V10" i="59"/>
  <c r="T10" i="59"/>
  <c r="R10" i="59"/>
  <c r="S10" i="59" s="1"/>
  <c r="P10" i="59"/>
  <c r="N10" i="59"/>
  <c r="L10" i="59"/>
  <c r="M10" i="59" s="1"/>
  <c r="J10" i="59"/>
  <c r="AB9" i="59"/>
  <c r="Z9" i="59"/>
  <c r="X9" i="59"/>
  <c r="Y9" i="59" s="1"/>
  <c r="V9" i="59"/>
  <c r="T9" i="59"/>
  <c r="R9" i="59"/>
  <c r="S9" i="59" s="1"/>
  <c r="P9" i="59"/>
  <c r="N9" i="59"/>
  <c r="L9" i="59"/>
  <c r="M9" i="59" s="1"/>
  <c r="J9" i="59"/>
  <c r="AB8" i="59"/>
  <c r="Z8" i="59"/>
  <c r="X8" i="59"/>
  <c r="Y8" i="59" s="1"/>
  <c r="V8" i="59"/>
  <c r="T8" i="59"/>
  <c r="R8" i="59"/>
  <c r="S8" i="59" s="1"/>
  <c r="P8" i="59"/>
  <c r="N8" i="59"/>
  <c r="L8" i="59"/>
  <c r="M8" i="59" s="1"/>
  <c r="J8" i="59"/>
  <c r="D8" i="59"/>
  <c r="C8" i="59"/>
  <c r="D7" i="63" l="1"/>
  <c r="B9" i="61"/>
  <c r="D9" i="62"/>
  <c r="D9" i="63"/>
  <c r="C6" i="63"/>
  <c r="D10" i="63"/>
  <c r="D6" i="63"/>
  <c r="R7" i="60"/>
  <c r="S7" i="60" s="1"/>
  <c r="V7" i="59"/>
  <c r="P7" i="59"/>
  <c r="L7" i="59"/>
  <c r="M7" i="59" s="1"/>
  <c r="V6" i="59"/>
  <c r="P6" i="59"/>
  <c r="L6" i="59"/>
  <c r="M6" i="59" s="1"/>
  <c r="V7" i="60"/>
  <c r="J7" i="60"/>
  <c r="V20" i="62"/>
  <c r="P20" i="62"/>
  <c r="J20" i="62"/>
  <c r="D6" i="59"/>
  <c r="B8" i="59"/>
  <c r="D9" i="59"/>
  <c r="C6" i="59"/>
  <c r="C10" i="63"/>
  <c r="B6" i="63"/>
  <c r="B7" i="63"/>
  <c r="B8" i="63"/>
  <c r="B9" i="63"/>
  <c r="B10" i="62"/>
  <c r="X6" i="62"/>
  <c r="Y6" i="62" s="1"/>
  <c r="L8" i="62"/>
  <c r="M8" i="62" s="1"/>
  <c r="B9" i="62"/>
  <c r="P6" i="62"/>
  <c r="V7" i="62"/>
  <c r="J9" i="62"/>
  <c r="J6" i="62"/>
  <c r="P7" i="62"/>
  <c r="V8" i="62"/>
  <c r="J7" i="62"/>
  <c r="P8" i="62"/>
  <c r="V9" i="62"/>
  <c r="V20" i="61"/>
  <c r="R6" i="61"/>
  <c r="S6" i="61" s="1"/>
  <c r="B10" i="61"/>
  <c r="R8" i="61"/>
  <c r="S8" i="61" s="1"/>
  <c r="J8" i="61"/>
  <c r="V6" i="61"/>
  <c r="V7" i="61"/>
  <c r="J6" i="61"/>
  <c r="P7" i="61"/>
  <c r="V8" i="61"/>
  <c r="B9" i="60"/>
  <c r="C9" i="60"/>
  <c r="B6" i="60"/>
  <c r="D6" i="60"/>
  <c r="B10" i="60"/>
  <c r="C10" i="60"/>
  <c r="P20" i="60"/>
  <c r="D7" i="60"/>
  <c r="P6" i="60"/>
  <c r="B7" i="60"/>
  <c r="B7" i="59"/>
  <c r="C10" i="59"/>
  <c r="C7" i="59"/>
  <c r="D10" i="59"/>
  <c r="D7" i="59"/>
  <c r="B9" i="59"/>
  <c r="B6" i="59"/>
  <c r="C9" i="59"/>
  <c r="V20" i="60"/>
  <c r="J6" i="60"/>
  <c r="V6" i="60"/>
  <c r="C15" i="58" l="1"/>
  <c r="B10" i="58" s="1"/>
  <c r="C13" i="58"/>
  <c r="B13" i="58" s="1"/>
  <c r="AA10" i="58"/>
  <c r="Y10" i="58"/>
  <c r="W10" i="58"/>
  <c r="X10" i="58" s="1"/>
  <c r="U10" i="58"/>
  <c r="S10" i="58"/>
  <c r="R10" i="58"/>
  <c r="Q10" i="58"/>
  <c r="O10" i="58"/>
  <c r="M10" i="58"/>
  <c r="K10" i="58"/>
  <c r="L10" i="58" s="1"/>
  <c r="I10" i="58"/>
  <c r="D10" i="58"/>
  <c r="C10" i="58"/>
  <c r="AA9" i="58"/>
  <c r="Y9" i="58"/>
  <c r="W9" i="58"/>
  <c r="X9" i="58" s="1"/>
  <c r="U9" i="58"/>
  <c r="S9" i="58"/>
  <c r="Q9" i="58"/>
  <c r="R9" i="58" s="1"/>
  <c r="O9" i="58"/>
  <c r="M9" i="58"/>
  <c r="K9" i="58"/>
  <c r="L9" i="58" s="1"/>
  <c r="I9" i="58"/>
  <c r="D9" i="58"/>
  <c r="C9" i="58"/>
  <c r="AA8" i="58"/>
  <c r="Y8" i="58"/>
  <c r="W8" i="58"/>
  <c r="X8" i="58" s="1"/>
  <c r="U8" i="58"/>
  <c r="S8" i="58"/>
  <c r="R8" i="58"/>
  <c r="Q8" i="58"/>
  <c r="O8" i="58"/>
  <c r="M8" i="58"/>
  <c r="K8" i="58"/>
  <c r="L8" i="58" s="1"/>
  <c r="I8" i="58"/>
  <c r="D8" i="58"/>
  <c r="C8" i="58"/>
  <c r="AA7" i="58"/>
  <c r="Y7" i="58"/>
  <c r="W7" i="58"/>
  <c r="X7" i="58" s="1"/>
  <c r="U7" i="58"/>
  <c r="S7" i="58"/>
  <c r="Q7" i="58"/>
  <c r="R7" i="58" s="1"/>
  <c r="O7" i="58"/>
  <c r="M7" i="58"/>
  <c r="K7" i="58"/>
  <c r="L7" i="58" s="1"/>
  <c r="I7" i="58"/>
  <c r="D7" i="58"/>
  <c r="C7" i="58"/>
  <c r="AA6" i="58"/>
  <c r="Y6" i="58"/>
  <c r="W6" i="58"/>
  <c r="X6" i="58" s="1"/>
  <c r="U6" i="58"/>
  <c r="S6" i="58"/>
  <c r="Q6" i="58"/>
  <c r="R6" i="58" s="1"/>
  <c r="O6" i="58"/>
  <c r="M6" i="58"/>
  <c r="K6" i="58"/>
  <c r="L6" i="58" s="1"/>
  <c r="I6" i="58"/>
  <c r="D6" i="58"/>
  <c r="C6" i="58"/>
  <c r="C15" i="57"/>
  <c r="B10" i="57" s="1"/>
  <c r="C13" i="57"/>
  <c r="B13" i="57" s="1"/>
  <c r="AA10" i="57"/>
  <c r="Y10" i="57"/>
  <c r="W10" i="57"/>
  <c r="X10" i="57" s="1"/>
  <c r="U10" i="57"/>
  <c r="S10" i="57"/>
  <c r="Q10" i="57"/>
  <c r="R10" i="57" s="1"/>
  <c r="O10" i="57"/>
  <c r="M10" i="57"/>
  <c r="K10" i="57"/>
  <c r="L10" i="57" s="1"/>
  <c r="I10" i="57"/>
  <c r="D10" i="57"/>
  <c r="C10" i="57"/>
  <c r="AA9" i="57"/>
  <c r="Y9" i="57"/>
  <c r="U9" i="57"/>
  <c r="S9" i="57"/>
  <c r="Q9" i="57"/>
  <c r="R9" i="57" s="1"/>
  <c r="M9" i="57"/>
  <c r="I9" i="57"/>
  <c r="C9" i="57"/>
  <c r="B9" i="57"/>
  <c r="AA8" i="57"/>
  <c r="Y8" i="57"/>
  <c r="W8" i="57"/>
  <c r="X8" i="57" s="1"/>
  <c r="S8" i="57"/>
  <c r="O8" i="57"/>
  <c r="M8" i="57"/>
  <c r="K8" i="57"/>
  <c r="L8" i="57" s="1"/>
  <c r="D8" i="57"/>
  <c r="C8" i="57"/>
  <c r="AA7" i="57"/>
  <c r="Y7" i="57"/>
  <c r="U7" i="57"/>
  <c r="S7" i="57"/>
  <c r="Q7" i="57"/>
  <c r="R7" i="57" s="1"/>
  <c r="M7" i="57"/>
  <c r="I7" i="57"/>
  <c r="B7" i="57"/>
  <c r="AA6" i="57"/>
  <c r="Y6" i="57"/>
  <c r="W6" i="57"/>
  <c r="X6" i="57" s="1"/>
  <c r="S6" i="57"/>
  <c r="O6" i="57"/>
  <c r="M6" i="57"/>
  <c r="K6" i="57"/>
  <c r="L6" i="57" s="1"/>
  <c r="D6" i="57"/>
  <c r="C6" i="57"/>
  <c r="C15" i="56"/>
  <c r="C10" i="56" s="1"/>
  <c r="C13" i="56"/>
  <c r="B13" i="56" s="1"/>
  <c r="AA10" i="56"/>
  <c r="Y10" i="56"/>
  <c r="W10" i="56"/>
  <c r="X10" i="56" s="1"/>
  <c r="U10" i="56"/>
  <c r="S10" i="56"/>
  <c r="Q10" i="56"/>
  <c r="R10" i="56" s="1"/>
  <c r="O10" i="56"/>
  <c r="M10" i="56"/>
  <c r="K10" i="56"/>
  <c r="L10" i="56" s="1"/>
  <c r="I10" i="56"/>
  <c r="D10" i="56"/>
  <c r="AA9" i="56"/>
  <c r="Y9" i="56"/>
  <c r="W9" i="56"/>
  <c r="X9" i="56" s="1"/>
  <c r="U9" i="56"/>
  <c r="S9" i="56"/>
  <c r="Q9" i="56"/>
  <c r="R9" i="56" s="1"/>
  <c r="O9" i="56"/>
  <c r="M9" i="56"/>
  <c r="K9" i="56"/>
  <c r="L9" i="56" s="1"/>
  <c r="I9" i="56"/>
  <c r="D9" i="56"/>
  <c r="AA8" i="56"/>
  <c r="Y8" i="56"/>
  <c r="W8" i="56"/>
  <c r="X8" i="56" s="1"/>
  <c r="U8" i="56"/>
  <c r="S8" i="56"/>
  <c r="Q8" i="56"/>
  <c r="R8" i="56" s="1"/>
  <c r="O8" i="56"/>
  <c r="M8" i="56"/>
  <c r="K8" i="56"/>
  <c r="L8" i="56" s="1"/>
  <c r="I8" i="56"/>
  <c r="D8" i="56"/>
  <c r="C8" i="56"/>
  <c r="AA7" i="56"/>
  <c r="Y7" i="56"/>
  <c r="W7" i="56"/>
  <c r="X7" i="56" s="1"/>
  <c r="U7" i="56"/>
  <c r="S7" i="56"/>
  <c r="Q7" i="56"/>
  <c r="R7" i="56" s="1"/>
  <c r="O7" i="56"/>
  <c r="M7" i="56"/>
  <c r="K7" i="56"/>
  <c r="L7" i="56" s="1"/>
  <c r="I7" i="56"/>
  <c r="D7" i="56"/>
  <c r="AA6" i="56"/>
  <c r="Y6" i="56"/>
  <c r="W6" i="56"/>
  <c r="X6" i="56" s="1"/>
  <c r="U6" i="56"/>
  <c r="S6" i="56"/>
  <c r="Q6" i="56"/>
  <c r="R6" i="56" s="1"/>
  <c r="O6" i="56"/>
  <c r="M6" i="56"/>
  <c r="K6" i="56"/>
  <c r="L6" i="56" s="1"/>
  <c r="I6" i="56"/>
  <c r="D6" i="56"/>
  <c r="U8" i="57" l="1"/>
  <c r="O7" i="57"/>
  <c r="K9" i="57"/>
  <c r="L9" i="57" s="1"/>
  <c r="I6" i="57"/>
  <c r="W7" i="57"/>
  <c r="X7" i="57" s="1"/>
  <c r="Q6" i="57"/>
  <c r="R6" i="57" s="1"/>
  <c r="B6" i="58"/>
  <c r="B7" i="58"/>
  <c r="B8" i="58"/>
  <c r="B9" i="58"/>
  <c r="U6" i="57"/>
  <c r="K7" i="57"/>
  <c r="L7" i="57" s="1"/>
  <c r="I8" i="57"/>
  <c r="Q8" i="57"/>
  <c r="R8" i="57" s="1"/>
  <c r="O9" i="57"/>
  <c r="W9" i="57"/>
  <c r="X9" i="57" s="1"/>
  <c r="D7" i="57"/>
  <c r="B8" i="57"/>
  <c r="C7" i="57"/>
  <c r="B6" i="57"/>
  <c r="D9" i="57"/>
  <c r="B8" i="56"/>
  <c r="B9" i="56"/>
  <c r="B10" i="56"/>
  <c r="B6" i="56"/>
  <c r="B7" i="56"/>
  <c r="C6" i="56"/>
  <c r="C7" i="56"/>
  <c r="C9" i="56"/>
  <c r="AG7" i="54" l="1"/>
  <c r="AE7" i="54"/>
  <c r="AA7" i="54"/>
  <c r="Y7" i="54"/>
  <c r="W7" i="54"/>
  <c r="X7" i="54" s="1"/>
  <c r="S7" i="54"/>
  <c r="Q7" i="54"/>
  <c r="R7" i="54" s="1"/>
  <c r="M7" i="54"/>
  <c r="K7" i="54"/>
  <c r="L7" i="54" s="1"/>
  <c r="AG6" i="54"/>
  <c r="AE6" i="54"/>
  <c r="AC6" i="54"/>
  <c r="AD6" i="54" s="1"/>
  <c r="Y6" i="54"/>
  <c r="U6" i="54"/>
  <c r="S6" i="54"/>
  <c r="Q6" i="54"/>
  <c r="R6" i="54" s="1"/>
  <c r="M6" i="54"/>
  <c r="I6" i="54"/>
  <c r="C15" i="54"/>
  <c r="B9" i="54" s="1"/>
  <c r="C13" i="54"/>
  <c r="B13" i="54" s="1"/>
  <c r="AG10" i="54"/>
  <c r="AE10" i="54"/>
  <c r="AC10" i="54"/>
  <c r="AD10" i="54" s="1"/>
  <c r="AA10" i="54"/>
  <c r="Y10" i="54"/>
  <c r="W10" i="54"/>
  <c r="X10" i="54" s="1"/>
  <c r="U10" i="54"/>
  <c r="S10" i="54"/>
  <c r="Q10" i="54"/>
  <c r="R10" i="54" s="1"/>
  <c r="O10" i="54"/>
  <c r="M10" i="54"/>
  <c r="K10" i="54"/>
  <c r="L10" i="54" s="1"/>
  <c r="I10" i="54"/>
  <c r="D10" i="54"/>
  <c r="AG9" i="54"/>
  <c r="AE9" i="54"/>
  <c r="AC9" i="54"/>
  <c r="AD9" i="54" s="1"/>
  <c r="AA9" i="54"/>
  <c r="Y9" i="54"/>
  <c r="W9" i="54"/>
  <c r="X9" i="54" s="1"/>
  <c r="U9" i="54"/>
  <c r="S9" i="54"/>
  <c r="Q9" i="54"/>
  <c r="R9" i="54" s="1"/>
  <c r="O9" i="54"/>
  <c r="M9" i="54"/>
  <c r="K9" i="54"/>
  <c r="L9" i="54" s="1"/>
  <c r="I9" i="54"/>
  <c r="D9" i="54"/>
  <c r="C9" i="54"/>
  <c r="AG8" i="54"/>
  <c r="AE8" i="54"/>
  <c r="AC8" i="54"/>
  <c r="AD8" i="54" s="1"/>
  <c r="AA8" i="54"/>
  <c r="Y8" i="54"/>
  <c r="W8" i="54"/>
  <c r="X8" i="54" s="1"/>
  <c r="U8" i="54"/>
  <c r="S8" i="54"/>
  <c r="Q8" i="54"/>
  <c r="R8" i="54" s="1"/>
  <c r="O8" i="54"/>
  <c r="M8" i="54"/>
  <c r="K8" i="54"/>
  <c r="L8" i="54" s="1"/>
  <c r="I8" i="54"/>
  <c r="D8" i="54"/>
  <c r="C8" i="54"/>
  <c r="D7" i="54"/>
  <c r="C7" i="54"/>
  <c r="D6" i="54"/>
  <c r="C6" i="54"/>
  <c r="D28" i="52"/>
  <c r="F28" i="52" s="1"/>
  <c r="C28" i="52"/>
  <c r="I27" i="52"/>
  <c r="H27" i="52"/>
  <c r="G27" i="52"/>
  <c r="F27" i="52"/>
  <c r="E27" i="52"/>
  <c r="I26" i="52"/>
  <c r="H26" i="52"/>
  <c r="G26" i="52"/>
  <c r="F26" i="52"/>
  <c r="E26" i="52"/>
  <c r="J26" i="52" s="1"/>
  <c r="K26" i="52" s="1"/>
  <c r="I25" i="52"/>
  <c r="H25" i="52"/>
  <c r="G25" i="52"/>
  <c r="F25" i="52"/>
  <c r="E25" i="52"/>
  <c r="J25" i="52" s="1"/>
  <c r="K25" i="52" s="1"/>
  <c r="I24" i="52"/>
  <c r="H24" i="52"/>
  <c r="G24" i="52"/>
  <c r="F24" i="52"/>
  <c r="E24" i="52"/>
  <c r="J24" i="52" s="1"/>
  <c r="K24" i="52" s="1"/>
  <c r="I23" i="52"/>
  <c r="H23" i="52"/>
  <c r="G23" i="52"/>
  <c r="F23" i="52"/>
  <c r="E23" i="52"/>
  <c r="C10" i="52"/>
  <c r="B10" i="52"/>
  <c r="J8" i="52"/>
  <c r="J9" i="52" s="1"/>
  <c r="I8" i="52"/>
  <c r="I9" i="52" s="1"/>
  <c r="H8" i="52"/>
  <c r="H9" i="52" s="1"/>
  <c r="G8" i="52"/>
  <c r="G9" i="52" s="1"/>
  <c r="F8" i="52"/>
  <c r="F9" i="52" s="1"/>
  <c r="E8" i="52"/>
  <c r="J23" i="52" l="1"/>
  <c r="J27" i="52"/>
  <c r="K27" i="52" s="1"/>
  <c r="A6" i="52"/>
  <c r="AC7" i="54"/>
  <c r="AD7" i="54" s="1"/>
  <c r="U7" i="54"/>
  <c r="O7" i="54"/>
  <c r="I7" i="54"/>
  <c r="AA6" i="54"/>
  <c r="O6" i="54"/>
  <c r="K6" i="54"/>
  <c r="L6" i="54" s="1"/>
  <c r="W6" i="54"/>
  <c r="X6" i="54" s="1"/>
  <c r="B8" i="54"/>
  <c r="B10" i="54"/>
  <c r="C10" i="54"/>
  <c r="B6" i="54"/>
  <c r="B7" i="54"/>
  <c r="K23" i="52"/>
  <c r="G28" i="52"/>
  <c r="E9" i="52"/>
  <c r="D9" i="52" s="1"/>
  <c r="E6" i="52" s="1"/>
  <c r="H28" i="52"/>
  <c r="I28" i="52"/>
  <c r="E28" i="52"/>
  <c r="J28" i="52" l="1"/>
  <c r="B15" i="52" s="1"/>
  <c r="K28" i="52" l="1"/>
  <c r="B16" i="52" s="1"/>
  <c r="B14" i="52"/>
  <c r="B13" i="52"/>
  <c r="C12" i="52" l="1"/>
  <c r="J12" i="52"/>
  <c r="L12" i="52"/>
  <c r="M12" i="52"/>
  <c r="B12" i="52"/>
  <c r="E12" i="52"/>
  <c r="I12" i="52"/>
  <c r="F12" i="52"/>
  <c r="D12" i="52"/>
  <c r="G12" i="52"/>
  <c r="H12" i="52"/>
  <c r="K12" i="52"/>
  <c r="AE6" i="48"/>
  <c r="AA6" i="48"/>
  <c r="Y6" i="48"/>
  <c r="W6" i="48"/>
  <c r="X6" i="48" s="1"/>
  <c r="S6" i="48"/>
  <c r="Q6" i="48"/>
  <c r="R6" i="48" s="1"/>
  <c r="M6" i="48"/>
  <c r="AG6" i="48"/>
  <c r="I6" i="48"/>
  <c r="AE10" i="48"/>
  <c r="AC10" i="48"/>
  <c r="AD10" i="48" s="1"/>
  <c r="AA10" i="48"/>
  <c r="AE9" i="48"/>
  <c r="AC9" i="48"/>
  <c r="AD9" i="48" s="1"/>
  <c r="AA9" i="48"/>
  <c r="AE8" i="48"/>
  <c r="AC8" i="48"/>
  <c r="AD8" i="48" s="1"/>
  <c r="AA8" i="48"/>
  <c r="AE7" i="48"/>
  <c r="AA7" i="48"/>
  <c r="AC10" i="50"/>
  <c r="AD10" i="50" s="1"/>
  <c r="AC9" i="50"/>
  <c r="AD9" i="50" s="1"/>
  <c r="AC8" i="50"/>
  <c r="AD8" i="50" s="1"/>
  <c r="AE10" i="50"/>
  <c r="AE9" i="50"/>
  <c r="AE8" i="50"/>
  <c r="AE6" i="50"/>
  <c r="AC6" i="50"/>
  <c r="AA10" i="50"/>
  <c r="AA9" i="50"/>
  <c r="AA8" i="50"/>
  <c r="AE7" i="50"/>
  <c r="AA7" i="50"/>
  <c r="Y6" i="50"/>
  <c r="W6" i="50"/>
  <c r="X6" i="50" s="1"/>
  <c r="S6" i="50"/>
  <c r="Q6" i="50"/>
  <c r="R6" i="50" s="1"/>
  <c r="M6" i="50"/>
  <c r="K6" i="50"/>
  <c r="L6" i="50" s="1"/>
  <c r="AG6" i="50"/>
  <c r="C15" i="50"/>
  <c r="B10" i="50" s="1"/>
  <c r="C13" i="50"/>
  <c r="B13" i="50" s="1"/>
  <c r="AG10" i="50"/>
  <c r="Y10" i="50"/>
  <c r="W10" i="50"/>
  <c r="X10" i="50" s="1"/>
  <c r="U10" i="50"/>
  <c r="S10" i="50"/>
  <c r="Q10" i="50"/>
  <c r="R10" i="50" s="1"/>
  <c r="O10" i="50"/>
  <c r="M10" i="50"/>
  <c r="K10" i="50"/>
  <c r="L10" i="50" s="1"/>
  <c r="I10" i="50"/>
  <c r="AG9" i="50"/>
  <c r="Y9" i="50"/>
  <c r="W9" i="50"/>
  <c r="X9" i="50" s="1"/>
  <c r="U9" i="50"/>
  <c r="S9" i="50"/>
  <c r="Q9" i="50"/>
  <c r="R9" i="50" s="1"/>
  <c r="O9" i="50"/>
  <c r="M9" i="50"/>
  <c r="K9" i="50"/>
  <c r="L9" i="50" s="1"/>
  <c r="I9" i="50"/>
  <c r="AG8" i="50"/>
  <c r="Y8" i="50"/>
  <c r="W8" i="50"/>
  <c r="X8" i="50" s="1"/>
  <c r="U8" i="50"/>
  <c r="S8" i="50"/>
  <c r="Q8" i="50"/>
  <c r="R8" i="50" s="1"/>
  <c r="O8" i="50"/>
  <c r="M8" i="50"/>
  <c r="K8" i="50"/>
  <c r="L8" i="50" s="1"/>
  <c r="I8" i="50"/>
  <c r="D8" i="50"/>
  <c r="C8" i="50"/>
  <c r="AG7" i="50"/>
  <c r="Y7" i="50"/>
  <c r="W7" i="50"/>
  <c r="X7" i="50" s="1"/>
  <c r="U7" i="50"/>
  <c r="S7" i="50"/>
  <c r="Q7" i="50"/>
  <c r="R7" i="50" s="1"/>
  <c r="O7" i="50"/>
  <c r="M7" i="50"/>
  <c r="K7" i="50"/>
  <c r="L7" i="50" s="1"/>
  <c r="I7" i="50"/>
  <c r="C15" i="49"/>
  <c r="B10" i="49" s="1"/>
  <c r="C13" i="49"/>
  <c r="B13" i="49" s="1"/>
  <c r="AA10" i="49"/>
  <c r="Y10" i="49"/>
  <c r="W10" i="49"/>
  <c r="X10" i="49" s="1"/>
  <c r="U10" i="49"/>
  <c r="S10" i="49"/>
  <c r="Q10" i="49"/>
  <c r="R10" i="49" s="1"/>
  <c r="O10" i="49"/>
  <c r="M10" i="49"/>
  <c r="K10" i="49"/>
  <c r="L10" i="49" s="1"/>
  <c r="I10" i="49"/>
  <c r="AA9" i="49"/>
  <c r="Y9" i="49"/>
  <c r="W9" i="49"/>
  <c r="X9" i="49" s="1"/>
  <c r="U9" i="49"/>
  <c r="S9" i="49"/>
  <c r="Q9" i="49"/>
  <c r="R9" i="49" s="1"/>
  <c r="O9" i="49"/>
  <c r="M9" i="49"/>
  <c r="K9" i="49"/>
  <c r="L9" i="49" s="1"/>
  <c r="I9" i="49"/>
  <c r="C9" i="49"/>
  <c r="AA8" i="49"/>
  <c r="Y8" i="49"/>
  <c r="W8" i="49"/>
  <c r="X8" i="49" s="1"/>
  <c r="U8" i="49"/>
  <c r="S8" i="49"/>
  <c r="Q8" i="49"/>
  <c r="R8" i="49" s="1"/>
  <c r="O8" i="49"/>
  <c r="M8" i="49"/>
  <c r="K8" i="49"/>
  <c r="L8" i="49" s="1"/>
  <c r="I8" i="49"/>
  <c r="D8" i="49"/>
  <c r="C8" i="49"/>
  <c r="AA7" i="49"/>
  <c r="Y7" i="49"/>
  <c r="W7" i="49"/>
  <c r="X7" i="49" s="1"/>
  <c r="U7" i="49"/>
  <c r="S7" i="49"/>
  <c r="Q7" i="49"/>
  <c r="R7" i="49" s="1"/>
  <c r="O7" i="49"/>
  <c r="M7" i="49"/>
  <c r="K7" i="49"/>
  <c r="L7" i="49" s="1"/>
  <c r="I7" i="49"/>
  <c r="D7" i="49"/>
  <c r="AA6" i="49"/>
  <c r="W6" i="49"/>
  <c r="X6" i="49" s="1"/>
  <c r="Y6" i="49"/>
  <c r="U6" i="49"/>
  <c r="S6" i="49"/>
  <c r="Q6" i="49"/>
  <c r="R6" i="49" s="1"/>
  <c r="M6" i="49"/>
  <c r="K6" i="49"/>
  <c r="L6" i="49" s="1"/>
  <c r="I6" i="49"/>
  <c r="C15" i="48"/>
  <c r="B10" i="48" s="1"/>
  <c r="C13" i="48"/>
  <c r="B13" i="48" s="1"/>
  <c r="AG10" i="48"/>
  <c r="Y10" i="48"/>
  <c r="W10" i="48"/>
  <c r="X10" i="48" s="1"/>
  <c r="U10" i="48"/>
  <c r="S10" i="48"/>
  <c r="Q10" i="48"/>
  <c r="R10" i="48" s="1"/>
  <c r="O10" i="48"/>
  <c r="M10" i="48"/>
  <c r="K10" i="48"/>
  <c r="L10" i="48" s="1"/>
  <c r="I10" i="48"/>
  <c r="AG9" i="48"/>
  <c r="Y9" i="48"/>
  <c r="W9" i="48"/>
  <c r="X9" i="48" s="1"/>
  <c r="U9" i="48"/>
  <c r="S9" i="48"/>
  <c r="Q9" i="48"/>
  <c r="R9" i="48" s="1"/>
  <c r="O9" i="48"/>
  <c r="M9" i="48"/>
  <c r="K9" i="48"/>
  <c r="L9" i="48" s="1"/>
  <c r="I9" i="48"/>
  <c r="AG8" i="48"/>
  <c r="W8" i="48"/>
  <c r="X8" i="48" s="1"/>
  <c r="Y8" i="48"/>
  <c r="U8" i="48"/>
  <c r="S8" i="48"/>
  <c r="Q8" i="48"/>
  <c r="R8" i="48" s="1"/>
  <c r="K8" i="48"/>
  <c r="L8" i="48" s="1"/>
  <c r="M8" i="48"/>
  <c r="I8" i="48"/>
  <c r="D8" i="48"/>
  <c r="C8" i="48"/>
  <c r="B8" i="48"/>
  <c r="AG7" i="48"/>
  <c r="Y7" i="48"/>
  <c r="U7" i="48"/>
  <c r="W7" i="48"/>
  <c r="X7" i="48" s="1"/>
  <c r="S7" i="48"/>
  <c r="O7" i="48"/>
  <c r="M7" i="48"/>
  <c r="I7" i="48"/>
  <c r="AA10" i="13"/>
  <c r="AA9" i="13"/>
  <c r="AA8" i="13"/>
  <c r="AE7" i="13"/>
  <c r="AC7" i="13"/>
  <c r="AD7" i="13" s="1"/>
  <c r="AE10" i="13"/>
  <c r="AC10" i="13"/>
  <c r="AD10" i="13" s="1"/>
  <c r="AE9" i="13"/>
  <c r="AC9" i="13"/>
  <c r="AD9" i="13" s="1"/>
  <c r="AE8" i="13"/>
  <c r="AC8" i="13"/>
  <c r="AD8" i="13" s="1"/>
  <c r="AE6" i="13"/>
  <c r="AA6" i="13"/>
  <c r="AE10" i="14"/>
  <c r="AE9" i="14"/>
  <c r="AE8" i="14"/>
  <c r="AE7" i="14"/>
  <c r="AC10" i="14"/>
  <c r="AD10" i="14" s="1"/>
  <c r="AC9" i="14"/>
  <c r="AD9" i="14" s="1"/>
  <c r="AC8" i="14"/>
  <c r="AD8" i="14" s="1"/>
  <c r="AC7" i="14"/>
  <c r="AD7" i="14" s="1"/>
  <c r="AE6" i="14"/>
  <c r="AC6" i="14"/>
  <c r="AD6" i="14" s="1"/>
  <c r="D9" i="48" l="1"/>
  <c r="D6" i="50"/>
  <c r="C9" i="50"/>
  <c r="D7" i="50"/>
  <c r="B6" i="48"/>
  <c r="D7" i="48"/>
  <c r="AC7" i="50"/>
  <c r="AD7" i="50" s="1"/>
  <c r="U6" i="50"/>
  <c r="AC6" i="48"/>
  <c r="AD6" i="48" s="1"/>
  <c r="U6" i="48"/>
  <c r="O6" i="48"/>
  <c r="AC7" i="48"/>
  <c r="AD7" i="48" s="1"/>
  <c r="AA6" i="50"/>
  <c r="AD6" i="50"/>
  <c r="O6" i="50"/>
  <c r="I6" i="50"/>
  <c r="C10" i="50"/>
  <c r="C7" i="50"/>
  <c r="D10" i="50"/>
  <c r="C6" i="50"/>
  <c r="D9" i="50"/>
  <c r="B6" i="50"/>
  <c r="B7" i="50"/>
  <c r="B8" i="50"/>
  <c r="B9" i="50"/>
  <c r="B6" i="49"/>
  <c r="C10" i="49"/>
  <c r="C6" i="49"/>
  <c r="C7" i="49"/>
  <c r="D10" i="49"/>
  <c r="D9" i="49"/>
  <c r="O6" i="49"/>
  <c r="D6" i="49"/>
  <c r="B7" i="49"/>
  <c r="B8" i="49"/>
  <c r="B9" i="49"/>
  <c r="C10" i="48"/>
  <c r="D10" i="48"/>
  <c r="C9" i="48"/>
  <c r="O8" i="48"/>
  <c r="C6" i="48"/>
  <c r="D6" i="48"/>
  <c r="B7" i="48"/>
  <c r="K7" i="48"/>
  <c r="L7" i="48" s="1"/>
  <c r="K6" i="48"/>
  <c r="L6" i="48" s="1"/>
  <c r="Q7" i="48"/>
  <c r="R7" i="48" s="1"/>
  <c r="C7" i="48"/>
  <c r="B9" i="48"/>
  <c r="AA7" i="13"/>
  <c r="AA6" i="14"/>
  <c r="AC6" i="13"/>
  <c r="AD6" i="13" s="1"/>
  <c r="C15" i="47" l="1"/>
  <c r="C10" i="47" s="1"/>
  <c r="C13" i="47"/>
  <c r="B13" i="47" s="1"/>
  <c r="AA10" i="47"/>
  <c r="Y10" i="47"/>
  <c r="W10" i="47"/>
  <c r="X10" i="47" s="1"/>
  <c r="U10" i="47"/>
  <c r="S10" i="47"/>
  <c r="Q10" i="47"/>
  <c r="R10" i="47" s="1"/>
  <c r="O10" i="47"/>
  <c r="M10" i="47"/>
  <c r="K10" i="47"/>
  <c r="L10" i="47" s="1"/>
  <c r="I10" i="47"/>
  <c r="D10" i="47"/>
  <c r="AA9" i="47"/>
  <c r="Y9" i="47"/>
  <c r="W9" i="47"/>
  <c r="X9" i="47" s="1"/>
  <c r="U9" i="47"/>
  <c r="S9" i="47"/>
  <c r="Q9" i="47"/>
  <c r="R9" i="47" s="1"/>
  <c r="O9" i="47"/>
  <c r="M9" i="47"/>
  <c r="K9" i="47"/>
  <c r="L9" i="47" s="1"/>
  <c r="I9" i="47"/>
  <c r="D9" i="47"/>
  <c r="AA8" i="47"/>
  <c r="Y8" i="47"/>
  <c r="W8" i="47"/>
  <c r="X8" i="47" s="1"/>
  <c r="U8" i="47"/>
  <c r="S8" i="47"/>
  <c r="Q8" i="47"/>
  <c r="R8" i="47" s="1"/>
  <c r="O8" i="47"/>
  <c r="M8" i="47"/>
  <c r="K8" i="47"/>
  <c r="L8" i="47" s="1"/>
  <c r="I8" i="47"/>
  <c r="D8" i="47"/>
  <c r="C8" i="47"/>
  <c r="AA7" i="47"/>
  <c r="Y7" i="47"/>
  <c r="W7" i="47"/>
  <c r="X7" i="47" s="1"/>
  <c r="U7" i="47"/>
  <c r="S7" i="47"/>
  <c r="Q7" i="47"/>
  <c r="R7" i="47" s="1"/>
  <c r="O7" i="47"/>
  <c r="M7" i="47"/>
  <c r="K7" i="47"/>
  <c r="L7" i="47" s="1"/>
  <c r="I7" i="47"/>
  <c r="D7" i="47"/>
  <c r="AA6" i="47"/>
  <c r="Y6" i="47"/>
  <c r="W6" i="47"/>
  <c r="X6" i="47" s="1"/>
  <c r="U6" i="47"/>
  <c r="S6" i="47"/>
  <c r="Q6" i="47"/>
  <c r="R6" i="47" s="1"/>
  <c r="O6" i="47"/>
  <c r="M6" i="47"/>
  <c r="K6" i="47"/>
  <c r="L6" i="47" s="1"/>
  <c r="I6" i="47"/>
  <c r="D6" i="47"/>
  <c r="C15" i="46"/>
  <c r="B10" i="46" s="1"/>
  <c r="C13" i="46"/>
  <c r="B13" i="46" s="1"/>
  <c r="AA10" i="46"/>
  <c r="Y10" i="46"/>
  <c r="W10" i="46"/>
  <c r="X10" i="46" s="1"/>
  <c r="U10" i="46"/>
  <c r="S10" i="46"/>
  <c r="Q10" i="46"/>
  <c r="R10" i="46" s="1"/>
  <c r="O10" i="46"/>
  <c r="M10" i="46"/>
  <c r="K10" i="46"/>
  <c r="L10" i="46" s="1"/>
  <c r="I10" i="46"/>
  <c r="AA9" i="46"/>
  <c r="Y9" i="46"/>
  <c r="W9" i="46"/>
  <c r="X9" i="46" s="1"/>
  <c r="U9" i="46"/>
  <c r="S9" i="46"/>
  <c r="R9" i="46"/>
  <c r="Q9" i="46"/>
  <c r="O9" i="46"/>
  <c r="M9" i="46"/>
  <c r="K9" i="46"/>
  <c r="L9" i="46" s="1"/>
  <c r="I9" i="46"/>
  <c r="D9" i="46"/>
  <c r="C9" i="46"/>
  <c r="AA8" i="46"/>
  <c r="Y8" i="46"/>
  <c r="W8" i="46"/>
  <c r="X8" i="46" s="1"/>
  <c r="U8" i="46"/>
  <c r="S8" i="46"/>
  <c r="Q8" i="46"/>
  <c r="R8" i="46" s="1"/>
  <c r="O8" i="46"/>
  <c r="M8" i="46"/>
  <c r="K8" i="46"/>
  <c r="L8" i="46" s="1"/>
  <c r="I8" i="46"/>
  <c r="D8" i="46"/>
  <c r="C8" i="46"/>
  <c r="AA7" i="46"/>
  <c r="Y7" i="46"/>
  <c r="W7" i="46"/>
  <c r="X7" i="46" s="1"/>
  <c r="U7" i="46"/>
  <c r="S7" i="46"/>
  <c r="Q7" i="46"/>
  <c r="R7" i="46" s="1"/>
  <c r="O7" i="46"/>
  <c r="M7" i="46"/>
  <c r="K7" i="46"/>
  <c r="L7" i="46" s="1"/>
  <c r="I7" i="46"/>
  <c r="D7" i="46"/>
  <c r="C7" i="46"/>
  <c r="AA6" i="46"/>
  <c r="Y6" i="46"/>
  <c r="W6" i="46"/>
  <c r="X6" i="46" s="1"/>
  <c r="U6" i="46"/>
  <c r="S6" i="46"/>
  <c r="Q6" i="46"/>
  <c r="R6" i="46" s="1"/>
  <c r="O6" i="46"/>
  <c r="M6" i="46"/>
  <c r="K6" i="46"/>
  <c r="L6" i="46" s="1"/>
  <c r="I6" i="46"/>
  <c r="C15" i="45"/>
  <c r="C10" i="45" s="1"/>
  <c r="C13" i="45"/>
  <c r="B13" i="45" s="1"/>
  <c r="AG10" i="45"/>
  <c r="Y10" i="45"/>
  <c r="W10" i="45"/>
  <c r="X10" i="45" s="1"/>
  <c r="U10" i="45"/>
  <c r="S10" i="45"/>
  <c r="Q10" i="45"/>
  <c r="R10" i="45" s="1"/>
  <c r="O10" i="45"/>
  <c r="M10" i="45"/>
  <c r="K10" i="45"/>
  <c r="L10" i="45" s="1"/>
  <c r="I10" i="45"/>
  <c r="D10" i="45"/>
  <c r="AG9" i="45"/>
  <c r="Y9" i="45"/>
  <c r="W9" i="45"/>
  <c r="X9" i="45" s="1"/>
  <c r="U9" i="45"/>
  <c r="S9" i="45"/>
  <c r="Q9" i="45"/>
  <c r="R9" i="45" s="1"/>
  <c r="O9" i="45"/>
  <c r="M9" i="45"/>
  <c r="K9" i="45"/>
  <c r="L9" i="45" s="1"/>
  <c r="I9" i="45"/>
  <c r="D9" i="45"/>
  <c r="B9" i="45"/>
  <c r="AG8" i="45"/>
  <c r="Y8" i="45"/>
  <c r="W8" i="45"/>
  <c r="X8" i="45" s="1"/>
  <c r="U8" i="45"/>
  <c r="S8" i="45"/>
  <c r="Q8" i="45"/>
  <c r="R8" i="45" s="1"/>
  <c r="O8" i="45"/>
  <c r="M8" i="45"/>
  <c r="K8" i="45"/>
  <c r="L8" i="45" s="1"/>
  <c r="I8" i="45"/>
  <c r="D8" i="45"/>
  <c r="C8" i="45"/>
  <c r="AG7" i="45"/>
  <c r="Y7" i="45"/>
  <c r="W7" i="45"/>
  <c r="X7" i="45" s="1"/>
  <c r="U7" i="45"/>
  <c r="S7" i="45"/>
  <c r="Q7" i="45"/>
  <c r="R7" i="45" s="1"/>
  <c r="O7" i="45"/>
  <c r="M7" i="45"/>
  <c r="K7" i="45"/>
  <c r="L7" i="45" s="1"/>
  <c r="I7" i="45"/>
  <c r="D7" i="45"/>
  <c r="C7" i="45"/>
  <c r="B7" i="45"/>
  <c r="AG6" i="45"/>
  <c r="W6" i="45"/>
  <c r="X6" i="45" s="1"/>
  <c r="U6" i="45"/>
  <c r="S6" i="45"/>
  <c r="Q6" i="45"/>
  <c r="R6" i="45" s="1"/>
  <c r="O6" i="45"/>
  <c r="M6" i="45"/>
  <c r="K6" i="45"/>
  <c r="L6" i="45" s="1"/>
  <c r="I6" i="45"/>
  <c r="C15" i="44"/>
  <c r="C10" i="44" s="1"/>
  <c r="C13" i="44"/>
  <c r="B13" i="44" s="1"/>
  <c r="AA10" i="44"/>
  <c r="Y10" i="44"/>
  <c r="W10" i="44"/>
  <c r="X10" i="44" s="1"/>
  <c r="U10" i="44"/>
  <c r="S10" i="44"/>
  <c r="Q10" i="44"/>
  <c r="R10" i="44" s="1"/>
  <c r="O10" i="44"/>
  <c r="M10" i="44"/>
  <c r="K10" i="44"/>
  <c r="L10" i="44" s="1"/>
  <c r="I10" i="44"/>
  <c r="AA9" i="44"/>
  <c r="Y9" i="44"/>
  <c r="W9" i="44"/>
  <c r="X9" i="44" s="1"/>
  <c r="U9" i="44"/>
  <c r="S9" i="44"/>
  <c r="Q9" i="44"/>
  <c r="R9" i="44" s="1"/>
  <c r="O9" i="44"/>
  <c r="M9" i="44"/>
  <c r="K9" i="44"/>
  <c r="L9" i="44" s="1"/>
  <c r="I9" i="44"/>
  <c r="AA8" i="44"/>
  <c r="Y8" i="44"/>
  <c r="W8" i="44"/>
  <c r="X8" i="44" s="1"/>
  <c r="U8" i="44"/>
  <c r="S8" i="44"/>
  <c r="Q8" i="44"/>
  <c r="R8" i="44" s="1"/>
  <c r="O8" i="44"/>
  <c r="M8" i="44"/>
  <c r="K8" i="44"/>
  <c r="L8" i="44" s="1"/>
  <c r="I8" i="44"/>
  <c r="D8" i="44"/>
  <c r="C8" i="44"/>
  <c r="AA7" i="44"/>
  <c r="Y7" i="44"/>
  <c r="W7" i="44"/>
  <c r="X7" i="44" s="1"/>
  <c r="U7" i="44"/>
  <c r="S7" i="44"/>
  <c r="Q7" i="44"/>
  <c r="R7" i="44" s="1"/>
  <c r="O7" i="44"/>
  <c r="M7" i="44"/>
  <c r="K7" i="44"/>
  <c r="L7" i="44" s="1"/>
  <c r="I7" i="44"/>
  <c r="AA6" i="44"/>
  <c r="Y6" i="44"/>
  <c r="W6" i="44"/>
  <c r="X6" i="44" s="1"/>
  <c r="U6" i="44"/>
  <c r="S6" i="44"/>
  <c r="Q6" i="44"/>
  <c r="R6" i="44" s="1"/>
  <c r="O6" i="44"/>
  <c r="M6" i="44"/>
  <c r="K6" i="44"/>
  <c r="L6" i="44" s="1"/>
  <c r="I6" i="44"/>
  <c r="D6" i="44"/>
  <c r="C15" i="43"/>
  <c r="C10" i="43" s="1"/>
  <c r="C13" i="43"/>
  <c r="B13" i="43" s="1"/>
  <c r="AA10" i="43"/>
  <c r="Y10" i="43"/>
  <c r="W10" i="43"/>
  <c r="X10" i="43" s="1"/>
  <c r="U10" i="43"/>
  <c r="S10" i="43"/>
  <c r="Q10" i="43"/>
  <c r="R10" i="43" s="1"/>
  <c r="O10" i="43"/>
  <c r="M10" i="43"/>
  <c r="K10" i="43"/>
  <c r="L10" i="43" s="1"/>
  <c r="I10" i="43"/>
  <c r="AA9" i="43"/>
  <c r="Y9" i="43"/>
  <c r="W9" i="43"/>
  <c r="X9" i="43" s="1"/>
  <c r="U9" i="43"/>
  <c r="S9" i="43"/>
  <c r="Q9" i="43"/>
  <c r="R9" i="43" s="1"/>
  <c r="O9" i="43"/>
  <c r="M9" i="43"/>
  <c r="K9" i="43"/>
  <c r="L9" i="43" s="1"/>
  <c r="I9" i="43"/>
  <c r="AA8" i="43"/>
  <c r="Y8" i="43"/>
  <c r="W8" i="43"/>
  <c r="X8" i="43" s="1"/>
  <c r="U8" i="43"/>
  <c r="S8" i="43"/>
  <c r="Q8" i="43"/>
  <c r="R8" i="43" s="1"/>
  <c r="O8" i="43"/>
  <c r="M8" i="43"/>
  <c r="K8" i="43"/>
  <c r="L8" i="43" s="1"/>
  <c r="I8" i="43"/>
  <c r="D8" i="43"/>
  <c r="C8" i="43"/>
  <c r="AA7" i="43"/>
  <c r="Y7" i="43"/>
  <c r="W7" i="43"/>
  <c r="X7" i="43" s="1"/>
  <c r="U7" i="43"/>
  <c r="S7" i="43"/>
  <c r="Q7" i="43"/>
  <c r="R7" i="43" s="1"/>
  <c r="O7" i="43"/>
  <c r="M7" i="43"/>
  <c r="K7" i="43"/>
  <c r="L7" i="43" s="1"/>
  <c r="I7" i="43"/>
  <c r="AA6" i="43"/>
  <c r="Y6" i="43"/>
  <c r="W6" i="43"/>
  <c r="X6" i="43" s="1"/>
  <c r="U6" i="43"/>
  <c r="S6" i="43"/>
  <c r="Q6" i="43"/>
  <c r="R6" i="43" s="1"/>
  <c r="O6" i="43"/>
  <c r="M6" i="43"/>
  <c r="K6" i="43"/>
  <c r="L6" i="43" s="1"/>
  <c r="I6" i="43"/>
  <c r="D6" i="43"/>
  <c r="C15" i="42"/>
  <c r="C9" i="42" s="1"/>
  <c r="C13" i="42"/>
  <c r="B13" i="42" s="1"/>
  <c r="AA10" i="42"/>
  <c r="Y10" i="42"/>
  <c r="W10" i="42"/>
  <c r="X10" i="42" s="1"/>
  <c r="U10" i="42"/>
  <c r="S10" i="42"/>
  <c r="Q10" i="42"/>
  <c r="R10" i="42" s="1"/>
  <c r="O10" i="42"/>
  <c r="M10" i="42"/>
  <c r="K10" i="42"/>
  <c r="L10" i="42" s="1"/>
  <c r="I10" i="42"/>
  <c r="AA9" i="42"/>
  <c r="Y9" i="42"/>
  <c r="W9" i="42"/>
  <c r="X9" i="42" s="1"/>
  <c r="U9" i="42"/>
  <c r="S9" i="42"/>
  <c r="Q9" i="42"/>
  <c r="R9" i="42" s="1"/>
  <c r="O9" i="42"/>
  <c r="M9" i="42"/>
  <c r="K9" i="42"/>
  <c r="L9" i="42" s="1"/>
  <c r="I9" i="42"/>
  <c r="D9" i="42"/>
  <c r="AA8" i="42"/>
  <c r="Y8" i="42"/>
  <c r="W8" i="42"/>
  <c r="X8" i="42" s="1"/>
  <c r="U8" i="42"/>
  <c r="S8" i="42"/>
  <c r="Q8" i="42"/>
  <c r="R8" i="42" s="1"/>
  <c r="O8" i="42"/>
  <c r="M8" i="42"/>
  <c r="K8" i="42"/>
  <c r="L8" i="42" s="1"/>
  <c r="I8" i="42"/>
  <c r="D8" i="42"/>
  <c r="C8" i="42"/>
  <c r="B8" i="42"/>
  <c r="AA7" i="42"/>
  <c r="Y7" i="42"/>
  <c r="W7" i="42"/>
  <c r="X7" i="42" s="1"/>
  <c r="U7" i="42"/>
  <c r="S7" i="42"/>
  <c r="Q7" i="42"/>
  <c r="R7" i="42" s="1"/>
  <c r="O7" i="42"/>
  <c r="M7" i="42"/>
  <c r="K7" i="42"/>
  <c r="L7" i="42" s="1"/>
  <c r="I7" i="42"/>
  <c r="AA6" i="42"/>
  <c r="Y6" i="42"/>
  <c r="W6" i="42"/>
  <c r="X6" i="42" s="1"/>
  <c r="U6" i="42"/>
  <c r="S6" i="42"/>
  <c r="Q6" i="42"/>
  <c r="R6" i="42" s="1"/>
  <c r="O6" i="42"/>
  <c r="M6" i="42"/>
  <c r="K6" i="42"/>
  <c r="L6" i="42" s="1"/>
  <c r="I6" i="42"/>
  <c r="D6" i="42"/>
  <c r="C6" i="42"/>
  <c r="C15" i="41"/>
  <c r="D10" i="41" s="1"/>
  <c r="C13" i="41"/>
  <c r="B13" i="41"/>
  <c r="AA10" i="41"/>
  <c r="Y10" i="41"/>
  <c r="W10" i="41"/>
  <c r="X10" i="41" s="1"/>
  <c r="U10" i="41"/>
  <c r="S10" i="41"/>
  <c r="Q10" i="41"/>
  <c r="R10" i="41" s="1"/>
  <c r="O10" i="41"/>
  <c r="M10" i="41"/>
  <c r="K10" i="41"/>
  <c r="L10" i="41" s="1"/>
  <c r="I10" i="41"/>
  <c r="C10" i="41"/>
  <c r="B10" i="41"/>
  <c r="AA9" i="41"/>
  <c r="Y9" i="41"/>
  <c r="W9" i="41"/>
  <c r="X9" i="41" s="1"/>
  <c r="U9" i="41"/>
  <c r="S9" i="41"/>
  <c r="Q9" i="41"/>
  <c r="R9" i="41" s="1"/>
  <c r="O9" i="41"/>
  <c r="M9" i="41"/>
  <c r="K9" i="41"/>
  <c r="L9" i="41" s="1"/>
  <c r="I9" i="41"/>
  <c r="D9" i="41"/>
  <c r="C9" i="41"/>
  <c r="B9" i="41"/>
  <c r="AA8" i="41"/>
  <c r="Y8" i="41"/>
  <c r="W8" i="41"/>
  <c r="X8" i="41" s="1"/>
  <c r="U8" i="41"/>
  <c r="S8" i="41"/>
  <c r="Q8" i="41"/>
  <c r="R8" i="41" s="1"/>
  <c r="O8" i="41"/>
  <c r="M8" i="41"/>
  <c r="K8" i="41"/>
  <c r="L8" i="41" s="1"/>
  <c r="I8" i="41"/>
  <c r="D8" i="41"/>
  <c r="C8" i="41"/>
  <c r="B8" i="41"/>
  <c r="AA7" i="41"/>
  <c r="Y7" i="41"/>
  <c r="W7" i="41"/>
  <c r="X7" i="41" s="1"/>
  <c r="U7" i="41"/>
  <c r="S7" i="41"/>
  <c r="Q7" i="41"/>
  <c r="R7" i="41" s="1"/>
  <c r="O7" i="41"/>
  <c r="M7" i="41"/>
  <c r="K7" i="41"/>
  <c r="L7" i="41" s="1"/>
  <c r="I7" i="41"/>
  <c r="D7" i="41"/>
  <c r="C7" i="41"/>
  <c r="B7" i="41"/>
  <c r="AA6" i="41"/>
  <c r="Y6" i="41"/>
  <c r="W6" i="41"/>
  <c r="X6" i="41" s="1"/>
  <c r="U6" i="41"/>
  <c r="S6" i="41"/>
  <c r="Q6" i="41"/>
  <c r="R6" i="41" s="1"/>
  <c r="O6" i="41"/>
  <c r="M6" i="41"/>
  <c r="K6" i="41"/>
  <c r="L6" i="41" s="1"/>
  <c r="I6" i="41"/>
  <c r="D6" i="41"/>
  <c r="C6" i="41"/>
  <c r="B6" i="41"/>
  <c r="C15" i="40"/>
  <c r="C9" i="40" s="1"/>
  <c r="C13" i="40"/>
  <c r="B13" i="40" s="1"/>
  <c r="AA10" i="40"/>
  <c r="Y10" i="40"/>
  <c r="W10" i="40"/>
  <c r="X10" i="40" s="1"/>
  <c r="U10" i="40"/>
  <c r="S10" i="40"/>
  <c r="Q10" i="40"/>
  <c r="R10" i="40" s="1"/>
  <c r="O10" i="40"/>
  <c r="M10" i="40"/>
  <c r="L10" i="40"/>
  <c r="K10" i="40"/>
  <c r="I10" i="40"/>
  <c r="B10" i="40"/>
  <c r="AA9" i="40"/>
  <c r="Y9" i="40"/>
  <c r="W9" i="40"/>
  <c r="X9" i="40" s="1"/>
  <c r="U9" i="40"/>
  <c r="S9" i="40"/>
  <c r="Q9" i="40"/>
  <c r="R9" i="40" s="1"/>
  <c r="O9" i="40"/>
  <c r="M9" i="40"/>
  <c r="K9" i="40"/>
  <c r="L9" i="40" s="1"/>
  <c r="I9" i="40"/>
  <c r="D9" i="40"/>
  <c r="AA8" i="40"/>
  <c r="Y8" i="40"/>
  <c r="W8" i="40"/>
  <c r="X8" i="40" s="1"/>
  <c r="U8" i="40"/>
  <c r="S8" i="40"/>
  <c r="Q8" i="40"/>
  <c r="R8" i="40" s="1"/>
  <c r="O8" i="40"/>
  <c r="M8" i="40"/>
  <c r="K8" i="40"/>
  <c r="L8" i="40" s="1"/>
  <c r="I8" i="40"/>
  <c r="D8" i="40"/>
  <c r="C8" i="40"/>
  <c r="B8" i="40"/>
  <c r="AA7" i="40"/>
  <c r="Y7" i="40"/>
  <c r="W7" i="40"/>
  <c r="X7" i="40" s="1"/>
  <c r="U7" i="40"/>
  <c r="S7" i="40"/>
  <c r="Q7" i="40"/>
  <c r="R7" i="40" s="1"/>
  <c r="O7" i="40"/>
  <c r="M7" i="40"/>
  <c r="K7" i="40"/>
  <c r="L7" i="40" s="1"/>
  <c r="I7" i="40"/>
  <c r="AA6" i="40"/>
  <c r="Y6" i="40"/>
  <c r="W6" i="40"/>
  <c r="X6" i="40" s="1"/>
  <c r="U6" i="40"/>
  <c r="S6" i="40"/>
  <c r="Q6" i="40"/>
  <c r="R6" i="40" s="1"/>
  <c r="O6" i="40"/>
  <c r="M6" i="40"/>
  <c r="K6" i="40"/>
  <c r="L6" i="40" s="1"/>
  <c r="I6" i="40"/>
  <c r="D6" i="40"/>
  <c r="C6" i="40"/>
  <c r="C15" i="39"/>
  <c r="C13" i="39"/>
  <c r="B13" i="39" s="1"/>
  <c r="AA10" i="39"/>
  <c r="Y10" i="39"/>
  <c r="W10" i="39"/>
  <c r="X10" i="39" s="1"/>
  <c r="U10" i="39"/>
  <c r="S10" i="39"/>
  <c r="Q10" i="39"/>
  <c r="R10" i="39" s="1"/>
  <c r="O10" i="39"/>
  <c r="M10" i="39"/>
  <c r="K10" i="39"/>
  <c r="L10" i="39" s="1"/>
  <c r="I10" i="39"/>
  <c r="D10" i="39"/>
  <c r="C10" i="39"/>
  <c r="B10" i="39"/>
  <c r="AA9" i="39"/>
  <c r="Y9" i="39"/>
  <c r="W9" i="39"/>
  <c r="X9" i="39" s="1"/>
  <c r="U9" i="39"/>
  <c r="S9" i="39"/>
  <c r="Q9" i="39"/>
  <c r="R9" i="39" s="1"/>
  <c r="O9" i="39"/>
  <c r="M9" i="39"/>
  <c r="K9" i="39"/>
  <c r="L9" i="39" s="1"/>
  <c r="I9" i="39"/>
  <c r="D9" i="39"/>
  <c r="C9" i="39"/>
  <c r="B9" i="39"/>
  <c r="AA8" i="39"/>
  <c r="Y8" i="39"/>
  <c r="W8" i="39"/>
  <c r="X8" i="39" s="1"/>
  <c r="U8" i="39"/>
  <c r="S8" i="39"/>
  <c r="Q8" i="39"/>
  <c r="R8" i="39" s="1"/>
  <c r="O8" i="39"/>
  <c r="M8" i="39"/>
  <c r="K8" i="39"/>
  <c r="L8" i="39" s="1"/>
  <c r="I8" i="39"/>
  <c r="D8" i="39"/>
  <c r="C8" i="39"/>
  <c r="B8" i="39"/>
  <c r="AA7" i="39"/>
  <c r="Y7" i="39"/>
  <c r="W7" i="39"/>
  <c r="X7" i="39" s="1"/>
  <c r="U7" i="39"/>
  <c r="S7" i="39"/>
  <c r="Q7" i="39"/>
  <c r="R7" i="39" s="1"/>
  <c r="O7" i="39"/>
  <c r="M7" i="39"/>
  <c r="K7" i="39"/>
  <c r="L7" i="39" s="1"/>
  <c r="I7" i="39"/>
  <c r="D7" i="39"/>
  <c r="C7" i="39"/>
  <c r="B7" i="39"/>
  <c r="AA6" i="39"/>
  <c r="Y6" i="39"/>
  <c r="W6" i="39"/>
  <c r="X6" i="39" s="1"/>
  <c r="U6" i="39"/>
  <c r="S6" i="39"/>
  <c r="Q6" i="39"/>
  <c r="R6" i="39" s="1"/>
  <c r="O6" i="39"/>
  <c r="M6" i="39"/>
  <c r="K6" i="39"/>
  <c r="L6" i="39" s="1"/>
  <c r="I6" i="39"/>
  <c r="D6" i="39"/>
  <c r="C6" i="39"/>
  <c r="B6" i="39"/>
  <c r="C15" i="38"/>
  <c r="C10" i="38" s="1"/>
  <c r="C13" i="38"/>
  <c r="B13" i="38" s="1"/>
  <c r="AA10" i="38"/>
  <c r="Y10" i="38"/>
  <c r="W10" i="38"/>
  <c r="X10" i="38" s="1"/>
  <c r="U10" i="38"/>
  <c r="S10" i="38"/>
  <c r="Q10" i="38"/>
  <c r="R10" i="38" s="1"/>
  <c r="O10" i="38"/>
  <c r="M10" i="38"/>
  <c r="K10" i="38"/>
  <c r="L10" i="38" s="1"/>
  <c r="I10" i="38"/>
  <c r="AA9" i="38"/>
  <c r="Y9" i="38"/>
  <c r="W9" i="38"/>
  <c r="X9" i="38" s="1"/>
  <c r="U9" i="38"/>
  <c r="S9" i="38"/>
  <c r="Q9" i="38"/>
  <c r="R9" i="38" s="1"/>
  <c r="O9" i="38"/>
  <c r="M9" i="38"/>
  <c r="K9" i="38"/>
  <c r="L9" i="38" s="1"/>
  <c r="I9" i="38"/>
  <c r="D9" i="38"/>
  <c r="B9" i="38"/>
  <c r="AA8" i="38"/>
  <c r="Y8" i="38"/>
  <c r="W8" i="38"/>
  <c r="X8" i="38" s="1"/>
  <c r="U8" i="38"/>
  <c r="S8" i="38"/>
  <c r="Q8" i="38"/>
  <c r="R8" i="38" s="1"/>
  <c r="O8" i="38"/>
  <c r="M8" i="38"/>
  <c r="K8" i="38"/>
  <c r="L8" i="38" s="1"/>
  <c r="I8" i="38"/>
  <c r="D8" i="38"/>
  <c r="C8" i="38"/>
  <c r="B8" i="38"/>
  <c r="AA7" i="38"/>
  <c r="Y7" i="38"/>
  <c r="W7" i="38"/>
  <c r="X7" i="38" s="1"/>
  <c r="U7" i="38"/>
  <c r="S7" i="38"/>
  <c r="Q7" i="38"/>
  <c r="R7" i="38" s="1"/>
  <c r="O7" i="38"/>
  <c r="M7" i="38"/>
  <c r="K7" i="38"/>
  <c r="L7" i="38" s="1"/>
  <c r="I7" i="38"/>
  <c r="D7" i="38"/>
  <c r="AA6" i="38"/>
  <c r="Y6" i="38"/>
  <c r="W6" i="38"/>
  <c r="X6" i="38" s="1"/>
  <c r="U6" i="38"/>
  <c r="S6" i="38"/>
  <c r="Q6" i="38"/>
  <c r="R6" i="38" s="1"/>
  <c r="O6" i="38"/>
  <c r="M6" i="38"/>
  <c r="K6" i="38"/>
  <c r="L6" i="38" s="1"/>
  <c r="I6" i="38"/>
  <c r="D6" i="38"/>
  <c r="C6" i="38"/>
  <c r="B6" i="38"/>
  <c r="C15" i="37"/>
  <c r="C6" i="37" s="1"/>
  <c r="C13" i="37"/>
  <c r="B13" i="37" s="1"/>
  <c r="AA10" i="37"/>
  <c r="Y10" i="37"/>
  <c r="W10" i="37"/>
  <c r="X10" i="37" s="1"/>
  <c r="U10" i="37"/>
  <c r="S10" i="37"/>
  <c r="Q10" i="37"/>
  <c r="R10" i="37" s="1"/>
  <c r="O10" i="37"/>
  <c r="M10" i="37"/>
  <c r="K10" i="37"/>
  <c r="L10" i="37" s="1"/>
  <c r="I10" i="37"/>
  <c r="C10" i="37"/>
  <c r="AA9" i="37"/>
  <c r="Y9" i="37"/>
  <c r="W9" i="37"/>
  <c r="X9" i="37" s="1"/>
  <c r="U9" i="37"/>
  <c r="S9" i="37"/>
  <c r="Q9" i="37"/>
  <c r="R9" i="37" s="1"/>
  <c r="O9" i="37"/>
  <c r="M9" i="37"/>
  <c r="K9" i="37"/>
  <c r="L9" i="37" s="1"/>
  <c r="I9" i="37"/>
  <c r="B9" i="37"/>
  <c r="AA8" i="37"/>
  <c r="Y8" i="37"/>
  <c r="W8" i="37"/>
  <c r="X8" i="37" s="1"/>
  <c r="U8" i="37"/>
  <c r="S8" i="37"/>
  <c r="Q8" i="37"/>
  <c r="R8" i="37" s="1"/>
  <c r="O8" i="37"/>
  <c r="M8" i="37"/>
  <c r="K8" i="37"/>
  <c r="L8" i="37" s="1"/>
  <c r="I8" i="37"/>
  <c r="D8" i="37"/>
  <c r="C8" i="37"/>
  <c r="AA7" i="37"/>
  <c r="Y7" i="37"/>
  <c r="W7" i="37"/>
  <c r="X7" i="37" s="1"/>
  <c r="U7" i="37"/>
  <c r="S7" i="37"/>
  <c r="Q7" i="37"/>
  <c r="R7" i="37" s="1"/>
  <c r="O7" i="37"/>
  <c r="M7" i="37"/>
  <c r="L7" i="37"/>
  <c r="K7" i="37"/>
  <c r="I7" i="37"/>
  <c r="AB6" i="37"/>
  <c r="Z6" i="37"/>
  <c r="AA6" i="37" s="1"/>
  <c r="V6" i="37"/>
  <c r="Y6" i="37" s="1"/>
  <c r="T6" i="37"/>
  <c r="W6" i="37" s="1"/>
  <c r="X6" i="37" s="1"/>
  <c r="P6" i="37"/>
  <c r="S6" i="37" s="1"/>
  <c r="N6" i="37"/>
  <c r="O6" i="37" s="1"/>
  <c r="J6" i="37"/>
  <c r="M6" i="37" s="1"/>
  <c r="H6" i="37"/>
  <c r="K6" i="37" s="1"/>
  <c r="L6" i="37" s="1"/>
  <c r="G6" i="37"/>
  <c r="F6" i="37"/>
  <c r="C15" i="36"/>
  <c r="C10" i="36" s="1"/>
  <c r="C13" i="36"/>
  <c r="B13" i="36" s="1"/>
  <c r="AA10" i="36"/>
  <c r="Y10" i="36"/>
  <c r="W10" i="36"/>
  <c r="X10" i="36" s="1"/>
  <c r="U10" i="36"/>
  <c r="S10" i="36"/>
  <c r="Q10" i="36"/>
  <c r="R10" i="36" s="1"/>
  <c r="O10" i="36"/>
  <c r="M10" i="36"/>
  <c r="K10" i="36"/>
  <c r="L10" i="36" s="1"/>
  <c r="I10" i="36"/>
  <c r="D10" i="36"/>
  <c r="AA9" i="36"/>
  <c r="Y9" i="36"/>
  <c r="W9" i="36"/>
  <c r="X9" i="36" s="1"/>
  <c r="U9" i="36"/>
  <c r="S9" i="36"/>
  <c r="Q9" i="36"/>
  <c r="R9" i="36" s="1"/>
  <c r="O9" i="36"/>
  <c r="M9" i="36"/>
  <c r="K9" i="36"/>
  <c r="L9" i="36" s="1"/>
  <c r="I9" i="36"/>
  <c r="D9" i="36"/>
  <c r="AA8" i="36"/>
  <c r="Y8" i="36"/>
  <c r="W8" i="36"/>
  <c r="X8" i="36" s="1"/>
  <c r="U8" i="36"/>
  <c r="S8" i="36"/>
  <c r="Q8" i="36"/>
  <c r="R8" i="36" s="1"/>
  <c r="O8" i="36"/>
  <c r="M8" i="36"/>
  <c r="K8" i="36"/>
  <c r="L8" i="36" s="1"/>
  <c r="I8" i="36"/>
  <c r="D8" i="36"/>
  <c r="C8" i="36"/>
  <c r="AA7" i="36"/>
  <c r="Y7" i="36"/>
  <c r="W7" i="36"/>
  <c r="X7" i="36" s="1"/>
  <c r="U7" i="36"/>
  <c r="S7" i="36"/>
  <c r="Q7" i="36"/>
  <c r="R7" i="36" s="1"/>
  <c r="O7" i="36"/>
  <c r="M7" i="36"/>
  <c r="L7" i="36"/>
  <c r="K7" i="36"/>
  <c r="I7" i="36"/>
  <c r="D7" i="36"/>
  <c r="AA6" i="36"/>
  <c r="Y6" i="36"/>
  <c r="U6" i="36"/>
  <c r="S6" i="36"/>
  <c r="Q6" i="36"/>
  <c r="R6" i="36" s="1"/>
  <c r="M6" i="36"/>
  <c r="K6" i="36"/>
  <c r="L6" i="36" s="1"/>
  <c r="C6" i="36"/>
  <c r="B6" i="36"/>
  <c r="B8" i="37" l="1"/>
  <c r="B7" i="42"/>
  <c r="B10" i="38"/>
  <c r="C7" i="40"/>
  <c r="D10" i="40"/>
  <c r="C7" i="42"/>
  <c r="D10" i="42"/>
  <c r="D7" i="43"/>
  <c r="B6" i="45"/>
  <c r="C6" i="46"/>
  <c r="C9" i="37"/>
  <c r="D9" i="37"/>
  <c r="C7" i="37"/>
  <c r="B10" i="42"/>
  <c r="D7" i="37"/>
  <c r="B7" i="40"/>
  <c r="C10" i="42"/>
  <c r="D9" i="43"/>
  <c r="B7" i="38"/>
  <c r="D10" i="38"/>
  <c r="D7" i="40"/>
  <c r="B9" i="40"/>
  <c r="D7" i="42"/>
  <c r="B9" i="42"/>
  <c r="D9" i="44"/>
  <c r="C6" i="45"/>
  <c r="B8" i="45"/>
  <c r="D6" i="46"/>
  <c r="C10" i="46"/>
  <c r="D10" i="37"/>
  <c r="B7" i="37"/>
  <c r="C10" i="40"/>
  <c r="D6" i="37"/>
  <c r="B10" i="37"/>
  <c r="C7" i="38"/>
  <c r="B6" i="40"/>
  <c r="B6" i="42"/>
  <c r="D10" i="43"/>
  <c r="D7" i="44"/>
  <c r="D6" i="45"/>
  <c r="B10" i="45"/>
  <c r="D10" i="46"/>
  <c r="W6" i="36"/>
  <c r="X6" i="36" s="1"/>
  <c r="O6" i="36"/>
  <c r="U6" i="37"/>
  <c r="B6" i="47"/>
  <c r="B7" i="47"/>
  <c r="B8" i="47"/>
  <c r="B9" i="47"/>
  <c r="B10" i="47"/>
  <c r="C6" i="47"/>
  <c r="C7" i="47"/>
  <c r="C9" i="47"/>
  <c r="B6" i="46"/>
  <c r="B7" i="46"/>
  <c r="B8" i="46"/>
  <c r="B9" i="46"/>
  <c r="C9" i="45"/>
  <c r="D10" i="44"/>
  <c r="B6" i="44"/>
  <c r="B7" i="44"/>
  <c r="B8" i="44"/>
  <c r="B9" i="44"/>
  <c r="B10" i="44"/>
  <c r="C6" i="44"/>
  <c r="C7" i="44"/>
  <c r="C9" i="44"/>
  <c r="B6" i="43"/>
  <c r="B7" i="43"/>
  <c r="B8" i="43"/>
  <c r="B9" i="43"/>
  <c r="B10" i="43"/>
  <c r="C6" i="43"/>
  <c r="C7" i="43"/>
  <c r="C9" i="43"/>
  <c r="C9" i="38"/>
  <c r="I6" i="37"/>
  <c r="Q6" i="37"/>
  <c r="R6" i="37" s="1"/>
  <c r="B6" i="37"/>
  <c r="I6" i="36"/>
  <c r="D6" i="36"/>
  <c r="B7" i="36"/>
  <c r="B8" i="36"/>
  <c r="B9" i="36"/>
  <c r="B10" i="36"/>
  <c r="C7" i="36"/>
  <c r="C9" i="36"/>
  <c r="C15" i="34" l="1"/>
  <c r="B10" i="34" s="1"/>
  <c r="C13" i="34"/>
  <c r="B13" i="34" s="1"/>
  <c r="AA10" i="34"/>
  <c r="Y10" i="34"/>
  <c r="W10" i="34"/>
  <c r="X10" i="34" s="1"/>
  <c r="U10" i="34"/>
  <c r="S10" i="34"/>
  <c r="Q10" i="34"/>
  <c r="R10" i="34" s="1"/>
  <c r="O10" i="34"/>
  <c r="M10" i="34"/>
  <c r="K10" i="34"/>
  <c r="L10" i="34" s="1"/>
  <c r="I10" i="34"/>
  <c r="D10" i="34"/>
  <c r="C10" i="34"/>
  <c r="AA9" i="34"/>
  <c r="Y9" i="34"/>
  <c r="W9" i="34"/>
  <c r="X9" i="34" s="1"/>
  <c r="U9" i="34"/>
  <c r="S9" i="34"/>
  <c r="R9" i="34"/>
  <c r="Q9" i="34"/>
  <c r="O9" i="34"/>
  <c r="M9" i="34"/>
  <c r="K9" i="34"/>
  <c r="L9" i="34" s="1"/>
  <c r="I9" i="34"/>
  <c r="D9" i="34"/>
  <c r="C9" i="34"/>
  <c r="AA8" i="34"/>
  <c r="Y8" i="34"/>
  <c r="W8" i="34"/>
  <c r="X8" i="34" s="1"/>
  <c r="U8" i="34"/>
  <c r="S8" i="34"/>
  <c r="Q8" i="34"/>
  <c r="R8" i="34" s="1"/>
  <c r="O8" i="34"/>
  <c r="M8" i="34"/>
  <c r="K8" i="34"/>
  <c r="L8" i="34" s="1"/>
  <c r="I8" i="34"/>
  <c r="D8" i="34"/>
  <c r="C8" i="34"/>
  <c r="AA7" i="34"/>
  <c r="Y7" i="34"/>
  <c r="X7" i="34"/>
  <c r="W7" i="34"/>
  <c r="U7" i="34"/>
  <c r="S7" i="34"/>
  <c r="Q7" i="34"/>
  <c r="R7" i="34" s="1"/>
  <c r="O7" i="34"/>
  <c r="M7" i="34"/>
  <c r="L7" i="34"/>
  <c r="K7" i="34"/>
  <c r="I7" i="34"/>
  <c r="D7" i="34"/>
  <c r="C7" i="34"/>
  <c r="AA6" i="34"/>
  <c r="Y6" i="34"/>
  <c r="W6" i="34"/>
  <c r="X6" i="34" s="1"/>
  <c r="U6" i="34"/>
  <c r="S6" i="34"/>
  <c r="Q6" i="34"/>
  <c r="R6" i="34" s="1"/>
  <c r="O6" i="34"/>
  <c r="M6" i="34"/>
  <c r="K6" i="34"/>
  <c r="L6" i="34" s="1"/>
  <c r="I6" i="34"/>
  <c r="D6" i="34"/>
  <c r="C6" i="34"/>
  <c r="C15" i="33"/>
  <c r="C13" i="33"/>
  <c r="B13" i="33" s="1"/>
  <c r="AA10" i="33"/>
  <c r="Y10" i="33"/>
  <c r="W10" i="33"/>
  <c r="X10" i="33" s="1"/>
  <c r="U10" i="33"/>
  <c r="S10" i="33"/>
  <c r="Q10" i="33"/>
  <c r="R10" i="33" s="1"/>
  <c r="O10" i="33"/>
  <c r="M10" i="33"/>
  <c r="K10" i="33"/>
  <c r="L10" i="33" s="1"/>
  <c r="I10" i="33"/>
  <c r="D10" i="33"/>
  <c r="C10" i="33"/>
  <c r="B10" i="33"/>
  <c r="AA9" i="33"/>
  <c r="Y9" i="33"/>
  <c r="W9" i="33"/>
  <c r="X9" i="33" s="1"/>
  <c r="U9" i="33"/>
  <c r="S9" i="33"/>
  <c r="Q9" i="33"/>
  <c r="R9" i="33" s="1"/>
  <c r="O9" i="33"/>
  <c r="M9" i="33"/>
  <c r="K9" i="33"/>
  <c r="L9" i="33" s="1"/>
  <c r="I9" i="33"/>
  <c r="D9" i="33"/>
  <c r="C9" i="33"/>
  <c r="B9" i="33"/>
  <c r="AA8" i="33"/>
  <c r="Y8" i="33"/>
  <c r="W8" i="33"/>
  <c r="X8" i="33" s="1"/>
  <c r="U8" i="33"/>
  <c r="S8" i="33"/>
  <c r="Q8" i="33"/>
  <c r="R8" i="33" s="1"/>
  <c r="O8" i="33"/>
  <c r="M8" i="33"/>
  <c r="K8" i="33"/>
  <c r="L8" i="33" s="1"/>
  <c r="I8" i="33"/>
  <c r="D8" i="33"/>
  <c r="C8" i="33"/>
  <c r="B8" i="33"/>
  <c r="AA7" i="33"/>
  <c r="Y7" i="33"/>
  <c r="W7" i="33"/>
  <c r="X7" i="33" s="1"/>
  <c r="U7" i="33"/>
  <c r="S7" i="33"/>
  <c r="Q7" i="33"/>
  <c r="R7" i="33" s="1"/>
  <c r="O7" i="33"/>
  <c r="M7" i="33"/>
  <c r="K7" i="33"/>
  <c r="L7" i="33" s="1"/>
  <c r="I7" i="33"/>
  <c r="D7" i="33"/>
  <c r="C7" i="33"/>
  <c r="B7" i="33"/>
  <c r="AA6" i="33"/>
  <c r="Y6" i="33"/>
  <c r="W6" i="33"/>
  <c r="X6" i="33" s="1"/>
  <c r="U6" i="33"/>
  <c r="S6" i="33"/>
  <c r="Q6" i="33"/>
  <c r="R6" i="33" s="1"/>
  <c r="O6" i="33"/>
  <c r="M6" i="33"/>
  <c r="K6" i="33"/>
  <c r="L6" i="33" s="1"/>
  <c r="I6" i="33"/>
  <c r="D6" i="33"/>
  <c r="C6" i="33"/>
  <c r="B6" i="33"/>
  <c r="C15" i="32"/>
  <c r="B9" i="32" s="1"/>
  <c r="C13" i="32"/>
  <c r="B13" i="32" s="1"/>
  <c r="AA10" i="32"/>
  <c r="Y10" i="32"/>
  <c r="W10" i="32"/>
  <c r="X10" i="32" s="1"/>
  <c r="U10" i="32"/>
  <c r="S10" i="32"/>
  <c r="Q10" i="32"/>
  <c r="R10" i="32" s="1"/>
  <c r="O10" i="32"/>
  <c r="M10" i="32"/>
  <c r="K10" i="32"/>
  <c r="L10" i="32" s="1"/>
  <c r="I10" i="32"/>
  <c r="AA9" i="32"/>
  <c r="Y9" i="32"/>
  <c r="W9" i="32"/>
  <c r="X9" i="32" s="1"/>
  <c r="U9" i="32"/>
  <c r="S9" i="32"/>
  <c r="Q9" i="32"/>
  <c r="R9" i="32" s="1"/>
  <c r="O9" i="32"/>
  <c r="M9" i="32"/>
  <c r="K9" i="32"/>
  <c r="L9" i="32" s="1"/>
  <c r="I9" i="32"/>
  <c r="D9" i="32"/>
  <c r="C9" i="32"/>
  <c r="AA8" i="32"/>
  <c r="Y8" i="32"/>
  <c r="W8" i="32"/>
  <c r="X8" i="32" s="1"/>
  <c r="U8" i="32"/>
  <c r="S8" i="32"/>
  <c r="Q8" i="32"/>
  <c r="R8" i="32" s="1"/>
  <c r="O8" i="32"/>
  <c r="M8" i="32"/>
  <c r="K8" i="32"/>
  <c r="L8" i="32" s="1"/>
  <c r="I8" i="32"/>
  <c r="D8" i="32"/>
  <c r="C8" i="32"/>
  <c r="B8" i="32"/>
  <c r="AA7" i="32"/>
  <c r="Y7" i="32"/>
  <c r="W7" i="32"/>
  <c r="X7" i="32" s="1"/>
  <c r="U7" i="32"/>
  <c r="S7" i="32"/>
  <c r="Q7" i="32"/>
  <c r="R7" i="32" s="1"/>
  <c r="O7" i="32"/>
  <c r="M7" i="32"/>
  <c r="K7" i="32"/>
  <c r="L7" i="32" s="1"/>
  <c r="I7" i="32"/>
  <c r="AA6" i="32"/>
  <c r="Y6" i="32"/>
  <c r="W6" i="32"/>
  <c r="X6" i="32" s="1"/>
  <c r="U6" i="32"/>
  <c r="S6" i="32"/>
  <c r="Q6" i="32"/>
  <c r="R6" i="32" s="1"/>
  <c r="O6" i="32"/>
  <c r="M6" i="32"/>
  <c r="K6" i="32"/>
  <c r="L6" i="32" s="1"/>
  <c r="I6" i="32"/>
  <c r="D6" i="32"/>
  <c r="C6" i="32"/>
  <c r="B6" i="32"/>
  <c r="C15" i="31"/>
  <c r="C13" i="31"/>
  <c r="B13" i="31" s="1"/>
  <c r="AA10" i="31"/>
  <c r="Y10" i="31"/>
  <c r="W10" i="31"/>
  <c r="X10" i="31" s="1"/>
  <c r="U10" i="31"/>
  <c r="S10" i="31"/>
  <c r="Q10" i="31"/>
  <c r="R10" i="31" s="1"/>
  <c r="O10" i="31"/>
  <c r="M10" i="31"/>
  <c r="K10" i="31"/>
  <c r="L10" i="31" s="1"/>
  <c r="I10" i="31"/>
  <c r="D10" i="31"/>
  <c r="C10" i="31"/>
  <c r="B10" i="31"/>
  <c r="AA9" i="31"/>
  <c r="Y9" i="31"/>
  <c r="W9" i="31"/>
  <c r="X9" i="31" s="1"/>
  <c r="U9" i="31"/>
  <c r="S9" i="31"/>
  <c r="Q9" i="31"/>
  <c r="R9" i="31" s="1"/>
  <c r="O9" i="31"/>
  <c r="M9" i="31"/>
  <c r="K9" i="31"/>
  <c r="L9" i="31" s="1"/>
  <c r="I9" i="31"/>
  <c r="D9" i="31"/>
  <c r="C9" i="31"/>
  <c r="B9" i="31"/>
  <c r="AA8" i="31"/>
  <c r="Y8" i="31"/>
  <c r="W8" i="31"/>
  <c r="X8" i="31" s="1"/>
  <c r="U8" i="31"/>
  <c r="S8" i="31"/>
  <c r="Q8" i="31"/>
  <c r="R8" i="31" s="1"/>
  <c r="O8" i="31"/>
  <c r="M8" i="31"/>
  <c r="K8" i="31"/>
  <c r="L8" i="31" s="1"/>
  <c r="I8" i="31"/>
  <c r="D8" i="31"/>
  <c r="C8" i="31"/>
  <c r="B8" i="31"/>
  <c r="AA7" i="31"/>
  <c r="Y7" i="31"/>
  <c r="W7" i="31"/>
  <c r="X7" i="31" s="1"/>
  <c r="U7" i="31"/>
  <c r="S7" i="31"/>
  <c r="Q7" i="31"/>
  <c r="R7" i="31" s="1"/>
  <c r="O7" i="31"/>
  <c r="M7" i="31"/>
  <c r="K7" i="31"/>
  <c r="L7" i="31" s="1"/>
  <c r="I7" i="31"/>
  <c r="D7" i="31"/>
  <c r="C7" i="31"/>
  <c r="B7" i="31"/>
  <c r="AA6" i="31"/>
  <c r="Y6" i="31"/>
  <c r="W6" i="31"/>
  <c r="X6" i="31" s="1"/>
  <c r="U6" i="31"/>
  <c r="S6" i="31"/>
  <c r="Q6" i="31"/>
  <c r="R6" i="31" s="1"/>
  <c r="O6" i="31"/>
  <c r="M6" i="31"/>
  <c r="K6" i="31"/>
  <c r="L6" i="31" s="1"/>
  <c r="I6" i="31"/>
  <c r="D6" i="31"/>
  <c r="C6" i="31"/>
  <c r="B6" i="31"/>
  <c r="C15" i="30"/>
  <c r="B10" i="30" s="1"/>
  <c r="C13" i="30"/>
  <c r="B13" i="30" s="1"/>
  <c r="AA10" i="30"/>
  <c r="Y10" i="30"/>
  <c r="W10" i="30"/>
  <c r="X10" i="30" s="1"/>
  <c r="U10" i="30"/>
  <c r="S10" i="30"/>
  <c r="Q10" i="30"/>
  <c r="R10" i="30" s="1"/>
  <c r="O10" i="30"/>
  <c r="M10" i="30"/>
  <c r="K10" i="30"/>
  <c r="L10" i="30" s="1"/>
  <c r="I10" i="30"/>
  <c r="D10" i="30"/>
  <c r="AA9" i="30"/>
  <c r="Y9" i="30"/>
  <c r="W9" i="30"/>
  <c r="X9" i="30" s="1"/>
  <c r="U9" i="30"/>
  <c r="S9" i="30"/>
  <c r="Q9" i="30"/>
  <c r="R9" i="30" s="1"/>
  <c r="O9" i="30"/>
  <c r="M9" i="30"/>
  <c r="K9" i="30"/>
  <c r="L9" i="30" s="1"/>
  <c r="I9" i="30"/>
  <c r="D9" i="30"/>
  <c r="C9" i="30"/>
  <c r="AA8" i="30"/>
  <c r="Y8" i="30"/>
  <c r="W8" i="30"/>
  <c r="X8" i="30" s="1"/>
  <c r="U8" i="30"/>
  <c r="S8" i="30"/>
  <c r="Q8" i="30"/>
  <c r="R8" i="30" s="1"/>
  <c r="O8" i="30"/>
  <c r="M8" i="30"/>
  <c r="K8" i="30"/>
  <c r="L8" i="30" s="1"/>
  <c r="I8" i="30"/>
  <c r="D8" i="30"/>
  <c r="C8" i="30"/>
  <c r="AA7" i="30"/>
  <c r="Y7" i="30"/>
  <c r="W7" i="30"/>
  <c r="X7" i="30" s="1"/>
  <c r="U7" i="30"/>
  <c r="S7" i="30"/>
  <c r="Q7" i="30"/>
  <c r="R7" i="30" s="1"/>
  <c r="O7" i="30"/>
  <c r="M7" i="30"/>
  <c r="K7" i="30"/>
  <c r="L7" i="30" s="1"/>
  <c r="I7" i="30"/>
  <c r="D7" i="30"/>
  <c r="C7" i="30"/>
  <c r="AA6" i="30"/>
  <c r="Y6" i="30"/>
  <c r="W6" i="30"/>
  <c r="X6" i="30" s="1"/>
  <c r="U6" i="30"/>
  <c r="S6" i="30"/>
  <c r="Q6" i="30"/>
  <c r="R6" i="30" s="1"/>
  <c r="O6" i="30"/>
  <c r="M6" i="30"/>
  <c r="K6" i="30"/>
  <c r="L6" i="30" s="1"/>
  <c r="I6" i="30"/>
  <c r="C15" i="29"/>
  <c r="C10" i="29" s="1"/>
  <c r="C13" i="29"/>
  <c r="B13" i="29" s="1"/>
  <c r="AA10" i="29"/>
  <c r="Y10" i="29"/>
  <c r="W10" i="29"/>
  <c r="X10" i="29" s="1"/>
  <c r="U10" i="29"/>
  <c r="S10" i="29"/>
  <c r="Q10" i="29"/>
  <c r="R10" i="29" s="1"/>
  <c r="O10" i="29"/>
  <c r="M10" i="29"/>
  <c r="K10" i="29"/>
  <c r="L10" i="29" s="1"/>
  <c r="I10" i="29"/>
  <c r="D10" i="29"/>
  <c r="AA9" i="29"/>
  <c r="Y9" i="29"/>
  <c r="W9" i="29"/>
  <c r="X9" i="29" s="1"/>
  <c r="U9" i="29"/>
  <c r="S9" i="29"/>
  <c r="Q9" i="29"/>
  <c r="R9" i="29" s="1"/>
  <c r="O9" i="29"/>
  <c r="M9" i="29"/>
  <c r="K9" i="29"/>
  <c r="L9" i="29" s="1"/>
  <c r="I9" i="29"/>
  <c r="D9" i="29"/>
  <c r="AA8" i="29"/>
  <c r="Y8" i="29"/>
  <c r="W8" i="29"/>
  <c r="X8" i="29" s="1"/>
  <c r="U8" i="29"/>
  <c r="S8" i="29"/>
  <c r="Q8" i="29"/>
  <c r="R8" i="29" s="1"/>
  <c r="O8" i="29"/>
  <c r="M8" i="29"/>
  <c r="K8" i="29"/>
  <c r="L8" i="29" s="1"/>
  <c r="I8" i="29"/>
  <c r="D8" i="29"/>
  <c r="C8" i="29"/>
  <c r="AA7" i="29"/>
  <c r="Y7" i="29"/>
  <c r="W7" i="29"/>
  <c r="X7" i="29" s="1"/>
  <c r="U7" i="29"/>
  <c r="S7" i="29"/>
  <c r="Q7" i="29"/>
  <c r="R7" i="29" s="1"/>
  <c r="O7" i="29"/>
  <c r="M7" i="29"/>
  <c r="K7" i="29"/>
  <c r="L7" i="29" s="1"/>
  <c r="I7" i="29"/>
  <c r="D7" i="29"/>
  <c r="AA6" i="29"/>
  <c r="Y6" i="29"/>
  <c r="U6" i="29"/>
  <c r="S6" i="29"/>
  <c r="Q6" i="29"/>
  <c r="R6" i="29" s="1"/>
  <c r="M6" i="29"/>
  <c r="K6" i="29"/>
  <c r="L6" i="29" s="1"/>
  <c r="B6" i="29"/>
  <c r="C15" i="28"/>
  <c r="C13" i="28"/>
  <c r="B13" i="28" s="1"/>
  <c r="AA10" i="28"/>
  <c r="Y10" i="28"/>
  <c r="W10" i="28"/>
  <c r="X10" i="28" s="1"/>
  <c r="U10" i="28"/>
  <c r="S10" i="28"/>
  <c r="Q10" i="28"/>
  <c r="R10" i="28" s="1"/>
  <c r="O10" i="28"/>
  <c r="M10" i="28"/>
  <c r="K10" i="28"/>
  <c r="L10" i="28" s="1"/>
  <c r="I10" i="28"/>
  <c r="D10" i="28"/>
  <c r="C10" i="28"/>
  <c r="B10" i="28"/>
  <c r="AA9" i="28"/>
  <c r="Y9" i="28"/>
  <c r="W9" i="28"/>
  <c r="X9" i="28" s="1"/>
  <c r="U9" i="28"/>
  <c r="S9" i="28"/>
  <c r="Q9" i="28"/>
  <c r="R9" i="28" s="1"/>
  <c r="O9" i="28"/>
  <c r="M9" i="28"/>
  <c r="K9" i="28"/>
  <c r="L9" i="28" s="1"/>
  <c r="I9" i="28"/>
  <c r="D9" i="28"/>
  <c r="C9" i="28"/>
  <c r="B9" i="28"/>
  <c r="AA8" i="28"/>
  <c r="Y8" i="28"/>
  <c r="W8" i="28"/>
  <c r="X8" i="28" s="1"/>
  <c r="U8" i="28"/>
  <c r="S8" i="28"/>
  <c r="Q8" i="28"/>
  <c r="R8" i="28" s="1"/>
  <c r="O8" i="28"/>
  <c r="M8" i="28"/>
  <c r="K8" i="28"/>
  <c r="L8" i="28" s="1"/>
  <c r="I8" i="28"/>
  <c r="D8" i="28"/>
  <c r="C8" i="28"/>
  <c r="B8" i="28"/>
  <c r="AA7" i="28"/>
  <c r="Y7" i="28"/>
  <c r="W7" i="28"/>
  <c r="X7" i="28" s="1"/>
  <c r="U7" i="28"/>
  <c r="S7" i="28"/>
  <c r="Q7" i="28"/>
  <c r="R7" i="28" s="1"/>
  <c r="O7" i="28"/>
  <c r="M7" i="28"/>
  <c r="K7" i="28"/>
  <c r="L7" i="28" s="1"/>
  <c r="I7" i="28"/>
  <c r="D7" i="28"/>
  <c r="C7" i="28"/>
  <c r="B7" i="28"/>
  <c r="AB6" i="28"/>
  <c r="Z6" i="28"/>
  <c r="AA6" i="28" s="1"/>
  <c r="V6" i="28"/>
  <c r="Y6" i="28" s="1"/>
  <c r="T6" i="28"/>
  <c r="W6" i="28" s="1"/>
  <c r="X6" i="28" s="1"/>
  <c r="P6" i="28"/>
  <c r="S6" i="28" s="1"/>
  <c r="N6" i="28"/>
  <c r="O6" i="28" s="1"/>
  <c r="J6" i="28"/>
  <c r="M6" i="28" s="1"/>
  <c r="H6" i="28"/>
  <c r="K6" i="28" s="1"/>
  <c r="L6" i="28" s="1"/>
  <c r="G6" i="28"/>
  <c r="F6" i="28"/>
  <c r="D6" i="28"/>
  <c r="C6" i="28"/>
  <c r="B6" i="28"/>
  <c r="C15" i="27"/>
  <c r="C13" i="27"/>
  <c r="B13" i="27" s="1"/>
  <c r="AA10" i="27"/>
  <c r="Y10" i="27"/>
  <c r="W10" i="27"/>
  <c r="X10" i="27" s="1"/>
  <c r="U10" i="27"/>
  <c r="S10" i="27"/>
  <c r="Q10" i="27"/>
  <c r="R10" i="27" s="1"/>
  <c r="O10" i="27"/>
  <c r="M10" i="27"/>
  <c r="K10" i="27"/>
  <c r="L10" i="27" s="1"/>
  <c r="I10" i="27"/>
  <c r="D10" i="27"/>
  <c r="C10" i="27"/>
  <c r="B10" i="27"/>
  <c r="AA9" i="27"/>
  <c r="Y9" i="27"/>
  <c r="W9" i="27"/>
  <c r="X9" i="27" s="1"/>
  <c r="U9" i="27"/>
  <c r="S9" i="27"/>
  <c r="Q9" i="27"/>
  <c r="R9" i="27" s="1"/>
  <c r="O9" i="27"/>
  <c r="M9" i="27"/>
  <c r="K9" i="27"/>
  <c r="L9" i="27" s="1"/>
  <c r="I9" i="27"/>
  <c r="D9" i="27"/>
  <c r="C9" i="27"/>
  <c r="B9" i="27"/>
  <c r="AA8" i="27"/>
  <c r="Y8" i="27"/>
  <c r="W8" i="27"/>
  <c r="X8" i="27" s="1"/>
  <c r="U8" i="27"/>
  <c r="S8" i="27"/>
  <c r="Q8" i="27"/>
  <c r="R8" i="27" s="1"/>
  <c r="O8" i="27"/>
  <c r="M8" i="27"/>
  <c r="K8" i="27"/>
  <c r="L8" i="27" s="1"/>
  <c r="I8" i="27"/>
  <c r="D8" i="27"/>
  <c r="C8" i="27"/>
  <c r="B8" i="27"/>
  <c r="AA7" i="27"/>
  <c r="Y7" i="27"/>
  <c r="W7" i="27"/>
  <c r="X7" i="27" s="1"/>
  <c r="U7" i="27"/>
  <c r="S7" i="27"/>
  <c r="Q7" i="27"/>
  <c r="R7" i="27" s="1"/>
  <c r="O7" i="27"/>
  <c r="M7" i="27"/>
  <c r="K7" i="27"/>
  <c r="L7" i="27" s="1"/>
  <c r="I7" i="27"/>
  <c r="D7" i="27"/>
  <c r="C7" i="27"/>
  <c r="B7" i="27"/>
  <c r="AA6" i="27"/>
  <c r="Y6" i="27"/>
  <c r="W6" i="27"/>
  <c r="X6" i="27" s="1"/>
  <c r="U6" i="27"/>
  <c r="S6" i="27"/>
  <c r="Q6" i="27"/>
  <c r="R6" i="27" s="1"/>
  <c r="O6" i="27"/>
  <c r="M6" i="27"/>
  <c r="K6" i="27"/>
  <c r="L6" i="27" s="1"/>
  <c r="I6" i="27"/>
  <c r="D6" i="27"/>
  <c r="C6" i="27"/>
  <c r="B6" i="27"/>
  <c r="C15" i="26"/>
  <c r="C13" i="26"/>
  <c r="B13" i="26" s="1"/>
  <c r="AA10" i="26"/>
  <c r="Y10" i="26"/>
  <c r="W10" i="26"/>
  <c r="X10" i="26" s="1"/>
  <c r="U10" i="26"/>
  <c r="S10" i="26"/>
  <c r="Q10" i="26"/>
  <c r="R10" i="26" s="1"/>
  <c r="O10" i="26"/>
  <c r="M10" i="26"/>
  <c r="K10" i="26"/>
  <c r="L10" i="26" s="1"/>
  <c r="I10" i="26"/>
  <c r="AA9" i="26"/>
  <c r="Y9" i="26"/>
  <c r="W9" i="26"/>
  <c r="X9" i="26" s="1"/>
  <c r="U9" i="26"/>
  <c r="S9" i="26"/>
  <c r="R9" i="26"/>
  <c r="Q9" i="26"/>
  <c r="O9" i="26"/>
  <c r="M9" i="26"/>
  <c r="K9" i="26"/>
  <c r="L9" i="26" s="1"/>
  <c r="I9" i="26"/>
  <c r="D9" i="26"/>
  <c r="C9" i="26"/>
  <c r="AA8" i="26"/>
  <c r="Y8" i="26"/>
  <c r="W8" i="26"/>
  <c r="X8" i="26" s="1"/>
  <c r="U8" i="26"/>
  <c r="S8" i="26"/>
  <c r="Q8" i="26"/>
  <c r="R8" i="26" s="1"/>
  <c r="O8" i="26"/>
  <c r="M8" i="26"/>
  <c r="K8" i="26"/>
  <c r="L8" i="26" s="1"/>
  <c r="I8" i="26"/>
  <c r="AA7" i="26"/>
  <c r="Y7" i="26"/>
  <c r="W7" i="26"/>
  <c r="X7" i="26" s="1"/>
  <c r="U7" i="26"/>
  <c r="S7" i="26"/>
  <c r="Q7" i="26"/>
  <c r="R7" i="26" s="1"/>
  <c r="O7" i="26"/>
  <c r="M7" i="26"/>
  <c r="K7" i="26"/>
  <c r="L7" i="26" s="1"/>
  <c r="I7" i="26"/>
  <c r="D7" i="26"/>
  <c r="C7" i="26"/>
  <c r="AA6" i="26"/>
  <c r="Y6" i="26"/>
  <c r="W6" i="26"/>
  <c r="X6" i="26" s="1"/>
  <c r="U6" i="26"/>
  <c r="S6" i="26"/>
  <c r="Q6" i="26"/>
  <c r="R6" i="26" s="1"/>
  <c r="O6" i="26"/>
  <c r="M6" i="26"/>
  <c r="K6" i="26"/>
  <c r="L6" i="26" s="1"/>
  <c r="I6" i="26"/>
  <c r="C6" i="26"/>
  <c r="AA6" i="25"/>
  <c r="O6" i="25"/>
  <c r="I6" i="25"/>
  <c r="AA6" i="24"/>
  <c r="AA10" i="25"/>
  <c r="U10" i="25"/>
  <c r="O10" i="25"/>
  <c r="I10" i="25"/>
  <c r="AA9" i="25"/>
  <c r="U9" i="25"/>
  <c r="O9" i="25"/>
  <c r="I9" i="25"/>
  <c r="AA8" i="25"/>
  <c r="U8" i="25"/>
  <c r="O8" i="25"/>
  <c r="I8" i="25"/>
  <c r="AA7" i="25"/>
  <c r="U7" i="25"/>
  <c r="O7" i="25"/>
  <c r="I7" i="25"/>
  <c r="B13" i="24"/>
  <c r="AA10" i="24"/>
  <c r="U10" i="24"/>
  <c r="O10" i="24"/>
  <c r="I10" i="24"/>
  <c r="AA9" i="24"/>
  <c r="U9" i="24"/>
  <c r="O9" i="24"/>
  <c r="I9" i="24"/>
  <c r="AA8" i="24"/>
  <c r="U8" i="24"/>
  <c r="O8" i="24"/>
  <c r="I8" i="24"/>
  <c r="AA7" i="24"/>
  <c r="U7" i="24"/>
  <c r="O7" i="24"/>
  <c r="I7" i="24"/>
  <c r="Y10" i="21"/>
  <c r="W10" i="21"/>
  <c r="X10" i="21" s="1"/>
  <c r="Y9" i="21"/>
  <c r="W9" i="21"/>
  <c r="X9" i="21" s="1"/>
  <c r="Y8" i="21"/>
  <c r="W8" i="21"/>
  <c r="X8" i="21" s="1"/>
  <c r="Y7" i="21"/>
  <c r="W7" i="21"/>
  <c r="X7" i="21" s="1"/>
  <c r="Y6" i="21"/>
  <c r="W6" i="21"/>
  <c r="X6" i="21" s="1"/>
  <c r="S10" i="21"/>
  <c r="Q10" i="21"/>
  <c r="R10" i="21" s="1"/>
  <c r="S9" i="21"/>
  <c r="Q9" i="21"/>
  <c r="R9" i="21" s="1"/>
  <c r="S8" i="21"/>
  <c r="R8" i="21"/>
  <c r="Q8" i="21"/>
  <c r="S7" i="21"/>
  <c r="Q7" i="21"/>
  <c r="R7" i="21" s="1"/>
  <c r="S6" i="21"/>
  <c r="Q6" i="21"/>
  <c r="R6" i="21" s="1"/>
  <c r="M10" i="21"/>
  <c r="K10" i="21"/>
  <c r="L10" i="21" s="1"/>
  <c r="M9" i="21"/>
  <c r="K9" i="21"/>
  <c r="L9" i="21" s="1"/>
  <c r="M8" i="21"/>
  <c r="K8" i="21"/>
  <c r="L8" i="21" s="1"/>
  <c r="M7" i="21"/>
  <c r="K7" i="21"/>
  <c r="L7" i="21" s="1"/>
  <c r="M6" i="21"/>
  <c r="K6" i="21"/>
  <c r="L6" i="21" s="1"/>
  <c r="D10" i="21"/>
  <c r="C10" i="21"/>
  <c r="B10" i="21"/>
  <c r="D9" i="21"/>
  <c r="C9" i="21"/>
  <c r="B9" i="21"/>
  <c r="D8" i="21"/>
  <c r="C8" i="21"/>
  <c r="B8" i="21"/>
  <c r="D7" i="21"/>
  <c r="C7" i="21"/>
  <c r="B7" i="21"/>
  <c r="D6" i="21"/>
  <c r="C6" i="21"/>
  <c r="B6" i="21"/>
  <c r="AA10" i="22"/>
  <c r="U10" i="22"/>
  <c r="O10" i="22"/>
  <c r="I10" i="22"/>
  <c r="AA9" i="22"/>
  <c r="U9" i="22"/>
  <c r="O9" i="22"/>
  <c r="I9" i="22"/>
  <c r="AA8" i="22"/>
  <c r="U8" i="22"/>
  <c r="O8" i="22"/>
  <c r="I8" i="22"/>
  <c r="AA7" i="22"/>
  <c r="U7" i="22"/>
  <c r="O7" i="22"/>
  <c r="I7" i="22"/>
  <c r="AA6" i="22"/>
  <c r="O6" i="22"/>
  <c r="I6" i="22"/>
  <c r="B13" i="22"/>
  <c r="O6" i="23"/>
  <c r="B13" i="23"/>
  <c r="U6" i="23"/>
  <c r="I6" i="23"/>
  <c r="AA6" i="23"/>
  <c r="AA10" i="23"/>
  <c r="U10" i="23"/>
  <c r="O10" i="23"/>
  <c r="I10" i="23"/>
  <c r="AA9" i="23"/>
  <c r="U9" i="23"/>
  <c r="O9" i="23"/>
  <c r="I9" i="23"/>
  <c r="AA8" i="23"/>
  <c r="U8" i="23"/>
  <c r="O8" i="23"/>
  <c r="I8" i="23"/>
  <c r="AA7" i="23"/>
  <c r="U7" i="23"/>
  <c r="O7" i="23"/>
  <c r="I7" i="23"/>
  <c r="AG6" i="13"/>
  <c r="Y6" i="13"/>
  <c r="U6" i="13"/>
  <c r="S6" i="13"/>
  <c r="Q6" i="13"/>
  <c r="R6" i="13" s="1"/>
  <c r="M6" i="13"/>
  <c r="K6" i="13"/>
  <c r="L6" i="13" s="1"/>
  <c r="AA10" i="19"/>
  <c r="Y10" i="19"/>
  <c r="W10" i="19"/>
  <c r="X10" i="19" s="1"/>
  <c r="U10" i="19"/>
  <c r="S10" i="19"/>
  <c r="Q10" i="19"/>
  <c r="R10" i="19" s="1"/>
  <c r="O10" i="19"/>
  <c r="M10" i="19"/>
  <c r="K10" i="19"/>
  <c r="L10" i="19" s="1"/>
  <c r="I10" i="19"/>
  <c r="AA9" i="19"/>
  <c r="Y9" i="19"/>
  <c r="W9" i="19"/>
  <c r="X9" i="19" s="1"/>
  <c r="U9" i="19"/>
  <c r="S9" i="19"/>
  <c r="Q9" i="19"/>
  <c r="R9" i="19" s="1"/>
  <c r="O9" i="19"/>
  <c r="M9" i="19"/>
  <c r="K9" i="19"/>
  <c r="L9" i="19" s="1"/>
  <c r="I9" i="19"/>
  <c r="AA8" i="19"/>
  <c r="Y8" i="19"/>
  <c r="W8" i="19"/>
  <c r="X8" i="19" s="1"/>
  <c r="U8" i="19"/>
  <c r="S8" i="19"/>
  <c r="Q8" i="19"/>
  <c r="R8" i="19" s="1"/>
  <c r="O8" i="19"/>
  <c r="M8" i="19"/>
  <c r="K8" i="19"/>
  <c r="L8" i="19" s="1"/>
  <c r="I8" i="19"/>
  <c r="AA7" i="19"/>
  <c r="Y7" i="19"/>
  <c r="W7" i="19"/>
  <c r="X7" i="19" s="1"/>
  <c r="U7" i="19"/>
  <c r="S7" i="19"/>
  <c r="Q7" i="19"/>
  <c r="R7" i="19" s="1"/>
  <c r="O7" i="19"/>
  <c r="M7" i="19"/>
  <c r="K7" i="19"/>
  <c r="L7" i="19" s="1"/>
  <c r="I7" i="19"/>
  <c r="AA6" i="19"/>
  <c r="Y6" i="19"/>
  <c r="W6" i="19"/>
  <c r="X6" i="19" s="1"/>
  <c r="U6" i="19"/>
  <c r="S6" i="19"/>
  <c r="Q6" i="19"/>
  <c r="R6" i="19" s="1"/>
  <c r="O6" i="19"/>
  <c r="M6" i="19"/>
  <c r="K6" i="19"/>
  <c r="L6" i="19" s="1"/>
  <c r="I6" i="19"/>
  <c r="AA10" i="18"/>
  <c r="Y10" i="18"/>
  <c r="W10" i="18"/>
  <c r="X10" i="18" s="1"/>
  <c r="U10" i="18"/>
  <c r="S10" i="18"/>
  <c r="Q10" i="18"/>
  <c r="R10" i="18" s="1"/>
  <c r="O10" i="18"/>
  <c r="M10" i="18"/>
  <c r="K10" i="18"/>
  <c r="L10" i="18" s="1"/>
  <c r="I10" i="18"/>
  <c r="AA9" i="18"/>
  <c r="Y9" i="18"/>
  <c r="W9" i="18"/>
  <c r="X9" i="18" s="1"/>
  <c r="U9" i="18"/>
  <c r="S9" i="18"/>
  <c r="Q9" i="18"/>
  <c r="R9" i="18" s="1"/>
  <c r="O9" i="18"/>
  <c r="M9" i="18"/>
  <c r="K9" i="18"/>
  <c r="L9" i="18" s="1"/>
  <c r="I9" i="18"/>
  <c r="AA8" i="18"/>
  <c r="Y8" i="18"/>
  <c r="W8" i="18"/>
  <c r="X8" i="18" s="1"/>
  <c r="U8" i="18"/>
  <c r="S8" i="18"/>
  <c r="Q8" i="18"/>
  <c r="R8" i="18" s="1"/>
  <c r="O8" i="18"/>
  <c r="M8" i="18"/>
  <c r="K8" i="18"/>
  <c r="L8" i="18" s="1"/>
  <c r="I8" i="18"/>
  <c r="AA7" i="18"/>
  <c r="Y7" i="18"/>
  <c r="W7" i="18"/>
  <c r="X7" i="18" s="1"/>
  <c r="U7" i="18"/>
  <c r="S7" i="18"/>
  <c r="Q7" i="18"/>
  <c r="R7" i="18" s="1"/>
  <c r="O7" i="18"/>
  <c r="M7" i="18"/>
  <c r="K7" i="18"/>
  <c r="L7" i="18" s="1"/>
  <c r="I7" i="18"/>
  <c r="AA6" i="18"/>
  <c r="Y6" i="18"/>
  <c r="W6" i="18"/>
  <c r="X6" i="18" s="1"/>
  <c r="U6" i="18"/>
  <c r="S6" i="18"/>
  <c r="Q6" i="18"/>
  <c r="R6" i="18" s="1"/>
  <c r="O6" i="18"/>
  <c r="M6" i="18"/>
  <c r="K6" i="18"/>
  <c r="L6" i="18" s="1"/>
  <c r="I6" i="18"/>
  <c r="AA10" i="17"/>
  <c r="Y10" i="17"/>
  <c r="W10" i="17"/>
  <c r="X10" i="17" s="1"/>
  <c r="U10" i="17"/>
  <c r="S10" i="17"/>
  <c r="Q10" i="17"/>
  <c r="R10" i="17" s="1"/>
  <c r="O10" i="17"/>
  <c r="M10" i="17"/>
  <c r="K10" i="17"/>
  <c r="L10" i="17" s="1"/>
  <c r="I10" i="17"/>
  <c r="AA9" i="17"/>
  <c r="Y9" i="17"/>
  <c r="W9" i="17"/>
  <c r="X9" i="17" s="1"/>
  <c r="U9" i="17"/>
  <c r="S9" i="17"/>
  <c r="Q9" i="17"/>
  <c r="R9" i="17" s="1"/>
  <c r="O9" i="17"/>
  <c r="M9" i="17"/>
  <c r="K9" i="17"/>
  <c r="L9" i="17" s="1"/>
  <c r="I9" i="17"/>
  <c r="AA8" i="17"/>
  <c r="Y8" i="17"/>
  <c r="W8" i="17"/>
  <c r="X8" i="17" s="1"/>
  <c r="U8" i="17"/>
  <c r="S8" i="17"/>
  <c r="Q8" i="17"/>
  <c r="R8" i="17" s="1"/>
  <c r="O8" i="17"/>
  <c r="M8" i="17"/>
  <c r="K8" i="17"/>
  <c r="L8" i="17" s="1"/>
  <c r="I8" i="17"/>
  <c r="AA7" i="17"/>
  <c r="Y7" i="17"/>
  <c r="W7" i="17"/>
  <c r="X7" i="17" s="1"/>
  <c r="U7" i="17"/>
  <c r="S7" i="17"/>
  <c r="Q7" i="17"/>
  <c r="R7" i="17" s="1"/>
  <c r="O7" i="17"/>
  <c r="M7" i="17"/>
  <c r="K7" i="17"/>
  <c r="L7" i="17" s="1"/>
  <c r="I7" i="17"/>
  <c r="AA6" i="17"/>
  <c r="Y6" i="17"/>
  <c r="W6" i="17"/>
  <c r="X6" i="17" s="1"/>
  <c r="U6" i="17"/>
  <c r="S6" i="17"/>
  <c r="Q6" i="17"/>
  <c r="R6" i="17" s="1"/>
  <c r="O6" i="17"/>
  <c r="M6" i="17"/>
  <c r="K6" i="17"/>
  <c r="L6" i="17" s="1"/>
  <c r="I6" i="17"/>
  <c r="AA10" i="2"/>
  <c r="Y10" i="2"/>
  <c r="W10" i="2"/>
  <c r="X10" i="2" s="1"/>
  <c r="U10" i="2"/>
  <c r="S10" i="2"/>
  <c r="Q10" i="2"/>
  <c r="R10" i="2" s="1"/>
  <c r="O10" i="2"/>
  <c r="M10" i="2"/>
  <c r="K10" i="2"/>
  <c r="L10" i="2" s="1"/>
  <c r="I10" i="2"/>
  <c r="AA9" i="2"/>
  <c r="Y9" i="2"/>
  <c r="W9" i="2"/>
  <c r="X9" i="2" s="1"/>
  <c r="U9" i="2"/>
  <c r="S9" i="2"/>
  <c r="Q9" i="2"/>
  <c r="R9" i="2" s="1"/>
  <c r="O9" i="2"/>
  <c r="M9" i="2"/>
  <c r="K9" i="2"/>
  <c r="L9" i="2" s="1"/>
  <c r="I9" i="2"/>
  <c r="AA8" i="2"/>
  <c r="Y8" i="2"/>
  <c r="W8" i="2"/>
  <c r="X8" i="2" s="1"/>
  <c r="U8" i="2"/>
  <c r="S8" i="2"/>
  <c r="Q8" i="2"/>
  <c r="R8" i="2" s="1"/>
  <c r="O8" i="2"/>
  <c r="M8" i="2"/>
  <c r="K8" i="2"/>
  <c r="L8" i="2" s="1"/>
  <c r="I8" i="2"/>
  <c r="AA7" i="2"/>
  <c r="Y7" i="2"/>
  <c r="W7" i="2"/>
  <c r="X7" i="2" s="1"/>
  <c r="U7" i="2"/>
  <c r="S7" i="2"/>
  <c r="Q7" i="2"/>
  <c r="R7" i="2" s="1"/>
  <c r="O7" i="2"/>
  <c r="M7" i="2"/>
  <c r="K7" i="2"/>
  <c r="L7" i="2" s="1"/>
  <c r="I7" i="2"/>
  <c r="AA6" i="2"/>
  <c r="Y6" i="2"/>
  <c r="W6" i="2"/>
  <c r="X6" i="2" s="1"/>
  <c r="U6" i="2"/>
  <c r="S6" i="2"/>
  <c r="Q6" i="2"/>
  <c r="R6" i="2" s="1"/>
  <c r="O6" i="2"/>
  <c r="M6" i="2"/>
  <c r="K6" i="2"/>
  <c r="L6" i="2" s="1"/>
  <c r="I6" i="2"/>
  <c r="AA10" i="15"/>
  <c r="Y10" i="15"/>
  <c r="W10" i="15"/>
  <c r="X10" i="15" s="1"/>
  <c r="U10" i="15"/>
  <c r="S10" i="15"/>
  <c r="Q10" i="15"/>
  <c r="R10" i="15" s="1"/>
  <c r="O10" i="15"/>
  <c r="M10" i="15"/>
  <c r="K10" i="15"/>
  <c r="L10" i="15" s="1"/>
  <c r="I10" i="15"/>
  <c r="AA9" i="15"/>
  <c r="Y9" i="15"/>
  <c r="W9" i="15"/>
  <c r="X9" i="15" s="1"/>
  <c r="U9" i="15"/>
  <c r="S9" i="15"/>
  <c r="Q9" i="15"/>
  <c r="R9" i="15" s="1"/>
  <c r="O9" i="15"/>
  <c r="M9" i="15"/>
  <c r="K9" i="15"/>
  <c r="L9" i="15" s="1"/>
  <c r="I9" i="15"/>
  <c r="AA8" i="15"/>
  <c r="Y8" i="15"/>
  <c r="W8" i="15"/>
  <c r="X8" i="15" s="1"/>
  <c r="U8" i="15"/>
  <c r="S8" i="15"/>
  <c r="Q8" i="15"/>
  <c r="R8" i="15" s="1"/>
  <c r="O8" i="15"/>
  <c r="M8" i="15"/>
  <c r="K8" i="15"/>
  <c r="L8" i="15" s="1"/>
  <c r="I8" i="15"/>
  <c r="AA7" i="15"/>
  <c r="Y7" i="15"/>
  <c r="W7" i="15"/>
  <c r="X7" i="15" s="1"/>
  <c r="U7" i="15"/>
  <c r="S7" i="15"/>
  <c r="Q7" i="15"/>
  <c r="R7" i="15" s="1"/>
  <c r="O7" i="15"/>
  <c r="M7" i="15"/>
  <c r="K7" i="15"/>
  <c r="L7" i="15" s="1"/>
  <c r="I7" i="15"/>
  <c r="AA6" i="15"/>
  <c r="Y6" i="15"/>
  <c r="W6" i="15"/>
  <c r="X6" i="15" s="1"/>
  <c r="U6" i="15"/>
  <c r="S6" i="15"/>
  <c r="Q6" i="15"/>
  <c r="R6" i="15" s="1"/>
  <c r="O6" i="15"/>
  <c r="M6" i="15"/>
  <c r="K6" i="15"/>
  <c r="L6" i="15" s="1"/>
  <c r="I6" i="15"/>
  <c r="AG10" i="13"/>
  <c r="Y10" i="13"/>
  <c r="W10" i="13"/>
  <c r="X10" i="13" s="1"/>
  <c r="U10" i="13"/>
  <c r="S10" i="13"/>
  <c r="Q10" i="13"/>
  <c r="R10" i="13" s="1"/>
  <c r="O10" i="13"/>
  <c r="M10" i="13"/>
  <c r="K10" i="13"/>
  <c r="L10" i="13" s="1"/>
  <c r="I10" i="13"/>
  <c r="AG9" i="13"/>
  <c r="Y9" i="13"/>
  <c r="W9" i="13"/>
  <c r="X9" i="13" s="1"/>
  <c r="U9" i="13"/>
  <c r="S9" i="13"/>
  <c r="Q9" i="13"/>
  <c r="R9" i="13" s="1"/>
  <c r="O9" i="13"/>
  <c r="M9" i="13"/>
  <c r="K9" i="13"/>
  <c r="L9" i="13" s="1"/>
  <c r="I9" i="13"/>
  <c r="AG8" i="13"/>
  <c r="Y8" i="13"/>
  <c r="W8" i="13"/>
  <c r="X8" i="13" s="1"/>
  <c r="U8" i="13"/>
  <c r="S8" i="13"/>
  <c r="Q8" i="13"/>
  <c r="R8" i="13" s="1"/>
  <c r="O8" i="13"/>
  <c r="M8" i="13"/>
  <c r="K8" i="13"/>
  <c r="L8" i="13" s="1"/>
  <c r="I8" i="13"/>
  <c r="AG7" i="13"/>
  <c r="Y7" i="13"/>
  <c r="W7" i="13"/>
  <c r="X7" i="13" s="1"/>
  <c r="U7" i="13"/>
  <c r="S7" i="13"/>
  <c r="Q7" i="13"/>
  <c r="R7" i="13" s="1"/>
  <c r="O7" i="13"/>
  <c r="M7" i="13"/>
  <c r="K7" i="13"/>
  <c r="L7" i="13" s="1"/>
  <c r="I7" i="13"/>
  <c r="AG10" i="14"/>
  <c r="Y10" i="14"/>
  <c r="W10" i="14"/>
  <c r="X10" i="14" s="1"/>
  <c r="U10" i="14"/>
  <c r="S10" i="14"/>
  <c r="Q10" i="14"/>
  <c r="R10" i="14" s="1"/>
  <c r="O10" i="14"/>
  <c r="M10" i="14"/>
  <c r="K10" i="14"/>
  <c r="L10" i="14" s="1"/>
  <c r="I10" i="14"/>
  <c r="AG9" i="14"/>
  <c r="Y9" i="14"/>
  <c r="W9" i="14"/>
  <c r="X9" i="14" s="1"/>
  <c r="U9" i="14"/>
  <c r="S9" i="14"/>
  <c r="Q9" i="14"/>
  <c r="R9" i="14" s="1"/>
  <c r="O9" i="14"/>
  <c r="M9" i="14"/>
  <c r="K9" i="14"/>
  <c r="L9" i="14" s="1"/>
  <c r="I9" i="14"/>
  <c r="AG8" i="14"/>
  <c r="Y8" i="14"/>
  <c r="W8" i="14"/>
  <c r="X8" i="14" s="1"/>
  <c r="U8" i="14"/>
  <c r="S8" i="14"/>
  <c r="Q8" i="14"/>
  <c r="R8" i="14" s="1"/>
  <c r="O8" i="14"/>
  <c r="M8" i="14"/>
  <c r="K8" i="14"/>
  <c r="L8" i="14" s="1"/>
  <c r="I8" i="14"/>
  <c r="AG7" i="14"/>
  <c r="Y7" i="14"/>
  <c r="W7" i="14"/>
  <c r="X7" i="14" s="1"/>
  <c r="U7" i="14"/>
  <c r="S7" i="14"/>
  <c r="Q7" i="14"/>
  <c r="R7" i="14" s="1"/>
  <c r="O7" i="14"/>
  <c r="M7" i="14"/>
  <c r="K7" i="14"/>
  <c r="L7" i="14" s="1"/>
  <c r="I7" i="14"/>
  <c r="AG6" i="14"/>
  <c r="Y6" i="14"/>
  <c r="W6" i="14"/>
  <c r="X6" i="14" s="1"/>
  <c r="U6" i="14"/>
  <c r="S6" i="14"/>
  <c r="Q6" i="14"/>
  <c r="R6" i="14" s="1"/>
  <c r="O6" i="14"/>
  <c r="M6" i="14"/>
  <c r="K6" i="14"/>
  <c r="L6" i="14" s="1"/>
  <c r="I6" i="14"/>
  <c r="AA10" i="16"/>
  <c r="AA9" i="16"/>
  <c r="AA8" i="16"/>
  <c r="AA7" i="16"/>
  <c r="AA6" i="16"/>
  <c r="U10" i="16"/>
  <c r="U9" i="16"/>
  <c r="U8" i="16"/>
  <c r="U7" i="16"/>
  <c r="Y10" i="16"/>
  <c r="W10" i="16"/>
  <c r="X10" i="16" s="1"/>
  <c r="Y9" i="16"/>
  <c r="X9" i="16"/>
  <c r="W9" i="16"/>
  <c r="Y8" i="16"/>
  <c r="W8" i="16"/>
  <c r="X8" i="16" s="1"/>
  <c r="Y7" i="16"/>
  <c r="W7" i="16"/>
  <c r="X7" i="16" s="1"/>
  <c r="Y6" i="16"/>
  <c r="W6" i="16"/>
  <c r="X6" i="16" s="1"/>
  <c r="U6" i="16"/>
  <c r="R7" i="16"/>
  <c r="O10" i="16"/>
  <c r="O9" i="16"/>
  <c r="O8" i="16"/>
  <c r="O7" i="16"/>
  <c r="O6" i="16"/>
  <c r="L8" i="16"/>
  <c r="L7" i="16"/>
  <c r="I10" i="16"/>
  <c r="I9" i="16"/>
  <c r="I8" i="16"/>
  <c r="I7" i="16"/>
  <c r="I6" i="16"/>
  <c r="S10" i="16"/>
  <c r="Q10" i="16"/>
  <c r="R10" i="16" s="1"/>
  <c r="S9" i="16"/>
  <c r="Q9" i="16"/>
  <c r="R9" i="16" s="1"/>
  <c r="S8" i="16"/>
  <c r="Q8" i="16"/>
  <c r="R8" i="16" s="1"/>
  <c r="S7" i="16"/>
  <c r="Q7" i="16"/>
  <c r="S6" i="16"/>
  <c r="Q6" i="16"/>
  <c r="R6" i="16" s="1"/>
  <c r="M10" i="16"/>
  <c r="K10" i="16"/>
  <c r="L10" i="16" s="1"/>
  <c r="M9" i="16"/>
  <c r="K9" i="16"/>
  <c r="L9" i="16" s="1"/>
  <c r="M8" i="16"/>
  <c r="K8" i="16"/>
  <c r="M7" i="16"/>
  <c r="K7" i="16"/>
  <c r="M6" i="16"/>
  <c r="K6" i="16"/>
  <c r="L6" i="16" s="1"/>
  <c r="B10" i="26" l="1"/>
  <c r="C8" i="26"/>
  <c r="D8" i="26"/>
  <c r="B10" i="32"/>
  <c r="C10" i="26"/>
  <c r="B7" i="32"/>
  <c r="C10" i="32"/>
  <c r="D10" i="26"/>
  <c r="C6" i="30"/>
  <c r="C7" i="32"/>
  <c r="D10" i="32"/>
  <c r="D6" i="26"/>
  <c r="D6" i="30"/>
  <c r="C10" i="30"/>
  <c r="D7" i="32"/>
  <c r="O6" i="13"/>
  <c r="W6" i="29"/>
  <c r="X6" i="29" s="1"/>
  <c r="O6" i="29"/>
  <c r="B6" i="34"/>
  <c r="B7" i="34"/>
  <c r="B8" i="34"/>
  <c r="B9" i="34"/>
  <c r="B6" i="30"/>
  <c r="B7" i="30"/>
  <c r="B8" i="30"/>
  <c r="B9" i="30"/>
  <c r="I6" i="29"/>
  <c r="C6" i="29"/>
  <c r="D6" i="29"/>
  <c r="B7" i="29"/>
  <c r="B8" i="29"/>
  <c r="B9" i="29"/>
  <c r="B10" i="29"/>
  <c r="C7" i="29"/>
  <c r="C9" i="29"/>
  <c r="I6" i="28"/>
  <c r="Q6" i="28"/>
  <c r="R6" i="28" s="1"/>
  <c r="U6" i="28"/>
  <c r="B6" i="26"/>
  <c r="B7" i="26"/>
  <c r="B8" i="26"/>
  <c r="B9" i="26"/>
  <c r="U6" i="25"/>
  <c r="U6" i="24"/>
  <c r="O6" i="24"/>
  <c r="I6" i="24"/>
  <c r="U6" i="22"/>
  <c r="W6" i="13"/>
  <c r="X6" i="13" s="1"/>
  <c r="I6" i="13"/>
  <c r="C15" i="19" l="1"/>
  <c r="D10" i="19" s="1"/>
  <c r="C13" i="19"/>
  <c r="B13" i="19" s="1"/>
  <c r="D8" i="19"/>
  <c r="C8" i="19"/>
  <c r="B6" i="19"/>
  <c r="C15" i="18"/>
  <c r="D10" i="18" s="1"/>
  <c r="C13" i="18"/>
  <c r="B13" i="18" s="1"/>
  <c r="D8" i="18"/>
  <c r="C8" i="18"/>
  <c r="C15" i="17"/>
  <c r="D10" i="17" s="1"/>
  <c r="C13" i="17"/>
  <c r="B13" i="17" s="1"/>
  <c r="C10" i="17"/>
  <c r="B10" i="17"/>
  <c r="D9" i="17"/>
  <c r="B9" i="17"/>
  <c r="D8" i="17"/>
  <c r="C8" i="17"/>
  <c r="D7" i="17"/>
  <c r="C7" i="17"/>
  <c r="B7" i="17"/>
  <c r="D6" i="17"/>
  <c r="B6" i="17"/>
  <c r="C15" i="16"/>
  <c r="D10" i="16" s="1"/>
  <c r="C13" i="16"/>
  <c r="B13" i="16" s="1"/>
  <c r="D8" i="16"/>
  <c r="C8" i="16"/>
  <c r="W8" i="1"/>
  <c r="B9" i="1" s="1"/>
  <c r="T8" i="1"/>
  <c r="Q8" i="1"/>
  <c r="N8" i="1"/>
  <c r="K8" i="1"/>
  <c r="H8" i="1"/>
  <c r="E8" i="1"/>
  <c r="B8" i="1"/>
  <c r="B7" i="1"/>
  <c r="E7" i="1"/>
  <c r="C15" i="15"/>
  <c r="D10" i="15" s="1"/>
  <c r="C13" i="15"/>
  <c r="B13" i="15" s="1"/>
  <c r="D8" i="15"/>
  <c r="C8" i="15"/>
  <c r="C15" i="14"/>
  <c r="C13" i="14"/>
  <c r="B13" i="14"/>
  <c r="D10" i="14"/>
  <c r="C10" i="2"/>
  <c r="D8" i="2"/>
  <c r="C8" i="2"/>
  <c r="C15" i="13"/>
  <c r="B6" i="13" s="1"/>
  <c r="C13" i="13"/>
  <c r="B13" i="13" s="1"/>
  <c r="D8" i="13"/>
  <c r="C8" i="13"/>
  <c r="B6" i="18" l="1"/>
  <c r="C10" i="14"/>
  <c r="C8" i="14"/>
  <c r="D8" i="14"/>
  <c r="B6" i="14"/>
  <c r="B8" i="14"/>
  <c r="C6" i="17"/>
  <c r="C9" i="17"/>
  <c r="B6" i="16"/>
  <c r="B8" i="13"/>
  <c r="C9" i="13"/>
  <c r="B9" i="13"/>
  <c r="B10" i="13"/>
  <c r="C9" i="19"/>
  <c r="D9" i="19"/>
  <c r="C6" i="19"/>
  <c r="D6" i="19"/>
  <c r="B7" i="19"/>
  <c r="C7" i="19"/>
  <c r="B10" i="19"/>
  <c r="B9" i="19"/>
  <c r="D7" i="19"/>
  <c r="C10" i="19"/>
  <c r="B8" i="19"/>
  <c r="C9" i="18"/>
  <c r="B7" i="18"/>
  <c r="D9" i="18"/>
  <c r="B9" i="18"/>
  <c r="D6" i="18"/>
  <c r="C7" i="18"/>
  <c r="B10" i="18"/>
  <c r="C6" i="18"/>
  <c r="D7" i="18"/>
  <c r="C10" i="18"/>
  <c r="B8" i="18"/>
  <c r="B8" i="17"/>
  <c r="D6" i="16"/>
  <c r="C9" i="16"/>
  <c r="B7" i="16"/>
  <c r="D9" i="16"/>
  <c r="B9" i="16"/>
  <c r="C7" i="16"/>
  <c r="B10" i="16"/>
  <c r="C6" i="16"/>
  <c r="D7" i="16"/>
  <c r="C10" i="16"/>
  <c r="B8" i="16"/>
  <c r="B6" i="15"/>
  <c r="D7" i="15"/>
  <c r="B9" i="15"/>
  <c r="C9" i="15"/>
  <c r="B7" i="15"/>
  <c r="D9" i="15"/>
  <c r="C6" i="15"/>
  <c r="D6" i="15"/>
  <c r="C7" i="15"/>
  <c r="B10" i="15"/>
  <c r="C10" i="15"/>
  <c r="B8" i="15"/>
  <c r="C6" i="14"/>
  <c r="D6" i="14"/>
  <c r="D9" i="14"/>
  <c r="B7" i="14"/>
  <c r="C7" i="14"/>
  <c r="B10" i="14"/>
  <c r="B9" i="14"/>
  <c r="C9" i="14"/>
  <c r="D7" i="14"/>
  <c r="D9" i="13"/>
  <c r="D6" i="13"/>
  <c r="B7" i="13"/>
  <c r="C10" i="13"/>
  <c r="C7" i="13"/>
  <c r="D10" i="13"/>
  <c r="D7" i="13"/>
  <c r="D6" i="2"/>
  <c r="B8" i="2"/>
  <c r="D10" i="2"/>
  <c r="B6" i="2"/>
  <c r="C6" i="2"/>
  <c r="B9" i="2"/>
  <c r="C9" i="2"/>
  <c r="B7" i="2"/>
  <c r="D9" i="2"/>
  <c r="C7" i="2"/>
  <c r="B10" i="2"/>
  <c r="D7" i="2"/>
  <c r="C6" i="13"/>
  <c r="W7" i="1" l="1"/>
  <c r="T7" i="1"/>
  <c r="Q7" i="1"/>
  <c r="N7" i="1"/>
  <c r="K7" i="1"/>
  <c r="H7" i="1"/>
  <c r="B13" i="2"/>
</calcChain>
</file>

<file path=xl/sharedStrings.xml><?xml version="1.0" encoding="utf-8"?>
<sst xmlns="http://schemas.openxmlformats.org/spreadsheetml/2006/main" count="2027" uniqueCount="272">
  <si>
    <t>Düsengröße/-farbe</t>
  </si>
  <si>
    <t>Spritzdruck*</t>
  </si>
  <si>
    <t>Volumenstrom/Düse</t>
  </si>
  <si>
    <t>gewünschte Wasseraufwandmenge in l/ha</t>
  </si>
  <si>
    <t>Daten in die gelben Felder eintragen</t>
  </si>
  <si>
    <t>Fahrgeschwindigkeit in km/h</t>
  </si>
  <si>
    <t>Flachstrahl</t>
  </si>
  <si>
    <t xml:space="preserve">Doppel-
Flachstrahl </t>
  </si>
  <si>
    <t>optimaler Druck zw. 2 und 3 bar</t>
  </si>
  <si>
    <t>Hersteller</t>
  </si>
  <si>
    <t>Lechler</t>
  </si>
  <si>
    <t>Typ</t>
  </si>
  <si>
    <t>Bezeichnung</t>
  </si>
  <si>
    <t>Anmelder</t>
  </si>
  <si>
    <t>bar</t>
  </si>
  <si>
    <t>TeeJet</t>
  </si>
  <si>
    <t>Hardi</t>
  </si>
  <si>
    <t>Agrotop</t>
  </si>
  <si>
    <t>Hypro</t>
  </si>
  <si>
    <t>ULD 05</t>
  </si>
  <si>
    <t>AIXR 110 05</t>
  </si>
  <si>
    <t>IDK 120 04 C</t>
  </si>
  <si>
    <t>40 cm</t>
  </si>
  <si>
    <t>Agrifac</t>
  </si>
  <si>
    <t>TTI60-110 03 VP-C</t>
  </si>
  <si>
    <t>TTI60-110 04 VP-C</t>
  </si>
  <si>
    <t>TTI60-110 025 VP-C</t>
  </si>
  <si>
    <t>DynaJet</t>
  </si>
  <si>
    <t>TTI60-110 05 VP-C</t>
  </si>
  <si>
    <t>TTI60-110 02 VP-C</t>
  </si>
  <si>
    <t>ExactApply</t>
  </si>
  <si>
    <t>JohnDeere</t>
  </si>
  <si>
    <t>Wilger</t>
  </si>
  <si>
    <t>NanoDrift ND 03</t>
  </si>
  <si>
    <t>Hawkeye</t>
  </si>
  <si>
    <t>Raven</t>
  </si>
  <si>
    <t>PSULDCQ20025</t>
  </si>
  <si>
    <t>PSULDCQ2003</t>
  </si>
  <si>
    <t>PSULDCQ2004</t>
  </si>
  <si>
    <t>PSULDCQ2005</t>
  </si>
  <si>
    <t>PSGATCQ2004</t>
  </si>
  <si>
    <t>PSGATCQ2005</t>
  </si>
  <si>
    <t>NanoDrift ND 05</t>
  </si>
  <si>
    <t>RowFan 40-02E</t>
  </si>
  <si>
    <t>APTJ-11005VP</t>
  </si>
  <si>
    <t>APTJ-11006VP</t>
  </si>
  <si>
    <t>APTJ-11004VP</t>
  </si>
  <si>
    <t>LDAC 90-02</t>
  </si>
  <si>
    <t>LDAC 90-015</t>
  </si>
  <si>
    <t>AVI-UC 110 03</t>
  </si>
  <si>
    <t>AVI-UC 110 04</t>
  </si>
  <si>
    <t>AVI-UC 110 05</t>
  </si>
  <si>
    <t>l/ha</t>
  </si>
  <si>
    <t>Druckbereich einsetzbar</t>
  </si>
  <si>
    <t>bis</t>
  </si>
  <si>
    <t>km/h</t>
  </si>
  <si>
    <t>Ausbringmenge</t>
  </si>
  <si>
    <t>Spritzdruck</t>
  </si>
  <si>
    <t>Fahrgeschwindigkeit</t>
  </si>
  <si>
    <t>03er Größe</t>
  </si>
  <si>
    <t>02er Größe</t>
  </si>
  <si>
    <t>Düsenabstand</t>
  </si>
  <si>
    <t>015er Größe</t>
  </si>
  <si>
    <t>025er Größe</t>
  </si>
  <si>
    <t>Düsenabstand im Gestänge (cm)</t>
  </si>
  <si>
    <t>01er Größe</t>
  </si>
  <si>
    <t>04er Größe</t>
  </si>
  <si>
    <t>05er Größe</t>
  </si>
  <si>
    <t>von</t>
  </si>
  <si>
    <t>CVI 80-02</t>
  </si>
  <si>
    <t>Abstand im Gestänge</t>
  </si>
  <si>
    <t>Anerkannt bis</t>
  </si>
  <si>
    <t>G Nummer</t>
  </si>
  <si>
    <t>Abstand Zielebene</t>
  </si>
  <si>
    <t>AI 110 05</t>
  </si>
  <si>
    <t>50 - 75</t>
  </si>
  <si>
    <t>Airmix 110 05</t>
  </si>
  <si>
    <t>IDK 120 05</t>
  </si>
  <si>
    <t>kurz</t>
  </si>
  <si>
    <t>lang</t>
  </si>
  <si>
    <t>Band</t>
  </si>
  <si>
    <t>Fläche</t>
  </si>
  <si>
    <t>ES 90 02E POM</t>
  </si>
  <si>
    <t>ES 90 04E POM</t>
  </si>
  <si>
    <t>AIC 110 05</t>
  </si>
  <si>
    <t>MiniDrift MD 05</t>
  </si>
  <si>
    <t>IDKN 120 04</t>
  </si>
  <si>
    <t>IDKN 120 03</t>
  </si>
  <si>
    <t>TTI 110 025</t>
  </si>
  <si>
    <t>Bandbreite (cm)</t>
  </si>
  <si>
    <t>Reihenabstand (cm)</t>
  </si>
  <si>
    <t>Anteil des Schlages</t>
  </si>
  <si>
    <t>Schlaggröße</t>
  </si>
  <si>
    <t/>
  </si>
  <si>
    <t>TTI 110 03</t>
  </si>
  <si>
    <t>TTI 110 04</t>
  </si>
  <si>
    <t>TTI 110 05</t>
  </si>
  <si>
    <t>MiniDrift MD 04</t>
  </si>
  <si>
    <t>ULD 04</t>
  </si>
  <si>
    <t>TurboDrop HiSpeed 04</t>
  </si>
  <si>
    <t>IDKT 120 05 C</t>
  </si>
  <si>
    <t>IDKT 120 04 C</t>
  </si>
  <si>
    <t>Doppelflach</t>
  </si>
  <si>
    <t>Flach</t>
  </si>
  <si>
    <t>AITTJ60 110 04</t>
  </si>
  <si>
    <t>IDKT 120 03</t>
  </si>
  <si>
    <t>IDKT 120 04</t>
  </si>
  <si>
    <t>IDKT 120 05</t>
  </si>
  <si>
    <t>TurboDrop HiSpeed 025</t>
  </si>
  <si>
    <t>MiniDrift Duo 110 03</t>
  </si>
  <si>
    <t>MiniDrift Duo 110 04</t>
  </si>
  <si>
    <t>MiniDrift Duo 110 05</t>
  </si>
  <si>
    <t>CVI Twin 110 03</t>
  </si>
  <si>
    <t>CVI Twin 110 04</t>
  </si>
  <si>
    <t>IDKT 120 02</t>
  </si>
  <si>
    <t>IDKT 120 025</t>
  </si>
  <si>
    <t>IDKT 120 06</t>
  </si>
  <si>
    <t>IDK 120 06</t>
  </si>
  <si>
    <t>Syngenta 130 05</t>
  </si>
  <si>
    <t>Vorauflauf</t>
  </si>
  <si>
    <t>TTI 110 06</t>
  </si>
  <si>
    <t>ID (3) 120 025</t>
  </si>
  <si>
    <t>ID (3) 120 05</t>
  </si>
  <si>
    <t>ID (3) 120 03</t>
  </si>
  <si>
    <t>ID (3) 120 04</t>
  </si>
  <si>
    <t>ES 80 02E MS</t>
  </si>
  <si>
    <t>ES 90 03E MS</t>
  </si>
  <si>
    <t>Lechler PRE</t>
  </si>
  <si>
    <t>IDTA 120 025 C</t>
  </si>
  <si>
    <t>IDTA 120 03 C</t>
  </si>
  <si>
    <t>IDTA 120 04 C</t>
  </si>
  <si>
    <t>PSULDQ2004A</t>
  </si>
  <si>
    <t>PSULDQ2005A</t>
  </si>
  <si>
    <t>IDK 90 02 C</t>
  </si>
  <si>
    <t>IDK 90 015 C</t>
  </si>
  <si>
    <t>KURZE Injektor - Flachstrahldüse</t>
  </si>
  <si>
    <t>KURZE Injektor - Doppelflachstrahldüse</t>
  </si>
  <si>
    <t>LANGE Injektor - Flachstrahldüse</t>
  </si>
  <si>
    <t>LANGE Injektor - Doppelflachstrahldüse</t>
  </si>
  <si>
    <t>FT 90 03</t>
  </si>
  <si>
    <t xml:space="preserve"> 10 - 40</t>
  </si>
  <si>
    <t>ID (3) 120 06</t>
  </si>
  <si>
    <t>SoftDrop 110 04</t>
  </si>
  <si>
    <t>SoftDrop 110 05</t>
  </si>
  <si>
    <t>Minidrift Duo 110 025</t>
  </si>
  <si>
    <t>Minidrift Duo 110 02</t>
  </si>
  <si>
    <t>AITTJ60 110 06 VP</t>
  </si>
  <si>
    <t>PSLDACQ2004</t>
  </si>
  <si>
    <t>PSAULDCQ20025</t>
  </si>
  <si>
    <t>PSAULDCQ2003</t>
  </si>
  <si>
    <t>PSAULDCQ2004</t>
  </si>
  <si>
    <t>IDTA 120 05 C</t>
  </si>
  <si>
    <t>PSAULDCQ2005</t>
  </si>
  <si>
    <t>IDK 90 025</t>
  </si>
  <si>
    <t>IDK 90 04 C</t>
  </si>
  <si>
    <t>gewünschte Stickstoffmenge in kg/ha</t>
  </si>
  <si>
    <t>AHL
28er Ware</t>
  </si>
  <si>
    <t>AHL
30er Ware</t>
  </si>
  <si>
    <t>AHL+S (S 25/6)
(25 Gew.-%)</t>
  </si>
  <si>
    <t>ASL 
(8 Gew.-%)</t>
  </si>
  <si>
    <t>ATS
 (12 Gew.-%)</t>
  </si>
  <si>
    <t>andere</t>
  </si>
  <si>
    <t>% Stickstoff (kg/dt)</t>
  </si>
  <si>
    <t>x</t>
  </si>
  <si>
    <t>kg/l</t>
  </si>
  <si>
    <t>verwendeter Dünger</t>
  </si>
  <si>
    <t>02</t>
  </si>
  <si>
    <t>025</t>
  </si>
  <si>
    <t>03</t>
  </si>
  <si>
    <t>04</t>
  </si>
  <si>
    <t>05</t>
  </si>
  <si>
    <t>06</t>
  </si>
  <si>
    <t>08</t>
  </si>
  <si>
    <t>10</t>
  </si>
  <si>
    <t>15</t>
  </si>
  <si>
    <t>20</t>
  </si>
  <si>
    <t>l/min bei 3 bar (ISO 10625)</t>
  </si>
  <si>
    <t>Wasser
(zum auslitern/kalibrieren)</t>
  </si>
  <si>
    <t>Flüssigdünger</t>
  </si>
  <si>
    <t>Korrekturfaktor (Wurzel)</t>
  </si>
  <si>
    <t>Wasser</t>
  </si>
  <si>
    <t>Dgg</t>
  </si>
  <si>
    <t>Gew.-%</t>
  </si>
  <si>
    <t>Dichte</t>
  </si>
  <si>
    <t>Vol.-%</t>
  </si>
  <si>
    <t>W-Dgg</t>
  </si>
  <si>
    <t>Dgg-W</t>
  </si>
  <si>
    <t>kg/dt</t>
  </si>
  <si>
    <t>kg/100l</t>
  </si>
  <si>
    <t>AHL 28 (28 Gew.-%)</t>
  </si>
  <si>
    <t>AHL 30 (30 Gew.-%)</t>
  </si>
  <si>
    <t>AHL+S (Piasan S 25/6) (25 Gew.-%)</t>
  </si>
  <si>
    <t>ASL (8 Gew.-%)</t>
  </si>
  <si>
    <t>ATS (12 Gew.-%)</t>
  </si>
  <si>
    <t>anderer Dünger</t>
  </si>
  <si>
    <t>UR 110 05</t>
  </si>
  <si>
    <t>UR 110 06</t>
  </si>
  <si>
    <t>Standard</t>
  </si>
  <si>
    <t>Randdüse</t>
  </si>
  <si>
    <t>IS 80 025</t>
  </si>
  <si>
    <t>im Gestänge</t>
  </si>
  <si>
    <t>IS 80 03</t>
  </si>
  <si>
    <t>IS 80 04</t>
  </si>
  <si>
    <t>AIUB 85 04</t>
  </si>
  <si>
    <t>IDKS 80 03</t>
  </si>
  <si>
    <t>IDKS 80 04</t>
  </si>
  <si>
    <t>IDKS 80 05</t>
  </si>
  <si>
    <t>Airmix OC 80 025</t>
  </si>
  <si>
    <t>Airmix OC 80 03</t>
  </si>
  <si>
    <t>Airmix OC 80 04</t>
  </si>
  <si>
    <t>Misch6</t>
  </si>
  <si>
    <t>Airmix OC 80 02</t>
  </si>
  <si>
    <t>IDKS 80 06</t>
  </si>
  <si>
    <t>IS 80 05</t>
  </si>
  <si>
    <t>IS 80 06</t>
  </si>
  <si>
    <t>baugleich IDKT C</t>
  </si>
  <si>
    <t>baugleich IDK C</t>
  </si>
  <si>
    <t>baugleich ID(3) C</t>
  </si>
  <si>
    <t>baugleich ULD 120</t>
  </si>
  <si>
    <t>AITTJ60 110 05 VP</t>
  </si>
  <si>
    <t>06er Größe</t>
  </si>
  <si>
    <t>AI/AIC 110 05</t>
  </si>
  <si>
    <t>baugleich IDTA C</t>
  </si>
  <si>
    <t>6 x hinter Spritze</t>
  </si>
  <si>
    <t>Düse</t>
  </si>
  <si>
    <t>Spritzdruck (Flüssigkeit)</t>
  </si>
  <si>
    <t>Luftdruck</t>
  </si>
  <si>
    <t>HTA 10/39-TKSS4</t>
  </si>
  <si>
    <t>Zielfläche</t>
  </si>
  <si>
    <t>Düse zu Düse</t>
  </si>
  <si>
    <t>HTA D3-21 TKSS5</t>
  </si>
  <si>
    <t>Verhältnis Luft : Flüssigkeit</t>
  </si>
  <si>
    <t>1:5</t>
  </si>
  <si>
    <t>1:2</t>
  </si>
  <si>
    <t>1:6</t>
  </si>
  <si>
    <t>optimaler Druck zw. 3 und 5 bar</t>
  </si>
  <si>
    <t>PSM kg/ha bzw. l/ha</t>
  </si>
  <si>
    <t>baugleich</t>
  </si>
  <si>
    <t xml:space="preserve">Düsen im Gestänge </t>
  </si>
  <si>
    <t>PWM</t>
  </si>
  <si>
    <t>NanoDrift ND 04</t>
  </si>
  <si>
    <t>AirMix 80 02</t>
  </si>
  <si>
    <t>LDAC 90 025</t>
  </si>
  <si>
    <t>IDK 90 015</t>
  </si>
  <si>
    <t>IDK 90 02</t>
  </si>
  <si>
    <t>110 01</t>
  </si>
  <si>
    <t>110 04</t>
  </si>
  <si>
    <t>l/min</t>
  </si>
  <si>
    <t>bar ISO</t>
  </si>
  <si>
    <r>
      <t xml:space="preserve">D </t>
    </r>
    <r>
      <rPr>
        <sz val="14"/>
        <color theme="1"/>
        <rFont val="Arial"/>
        <family val="2"/>
      </rPr>
      <t>P</t>
    </r>
  </si>
  <si>
    <t>bar neu</t>
  </si>
  <si>
    <t>110 015</t>
  </si>
  <si>
    <t>110 02</t>
  </si>
  <si>
    <t>110 025</t>
  </si>
  <si>
    <t>110 03</t>
  </si>
  <si>
    <t>110 05</t>
  </si>
  <si>
    <t>110 06</t>
  </si>
  <si>
    <t>110 08</t>
  </si>
  <si>
    <t>110 10</t>
  </si>
  <si>
    <t>01</t>
  </si>
  <si>
    <t>Spritzdruck am 
Manometer (bar)</t>
  </si>
  <si>
    <t>015</t>
  </si>
  <si>
    <t>Duty Cycle</t>
  </si>
  <si>
    <t>AITTJ 110 06 VP</t>
  </si>
  <si>
    <t>AIC 110 05 VP</t>
  </si>
  <si>
    <t>getrennt</t>
  </si>
  <si>
    <t>A/B Modus</t>
  </si>
  <si>
    <r>
      <t>D</t>
    </r>
    <r>
      <rPr>
        <sz val="14"/>
        <color theme="1"/>
        <rFont val="Arial"/>
        <family val="2"/>
      </rPr>
      <t>P</t>
    </r>
  </si>
  <si>
    <t>A od. B</t>
  </si>
  <si>
    <t>Quelle: Sprayers101</t>
  </si>
  <si>
    <t>John Deere</t>
  </si>
  <si>
    <t>HawkEye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</si>
</sst>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0.0\ &quot;km/h&quot;"/>
    <numFmt numFmtId="165" formatCode="0.0"/>
    <numFmt numFmtId="166" formatCode="0.0\ &quot;bar&quot;"/>
    <numFmt numFmtId="167" formatCode="0.00\ &quot;l/min und Düse&quot;"/>
    <numFmt numFmtId="168" formatCode="0\ &quot;l/ha&quot;"/>
    <numFmt numFmtId="169" formatCode="0\ &quot;%&quot;"/>
    <numFmt numFmtId="170" formatCode="0.0\ &quot;l/min bei 3 bar&quot;"/>
    <numFmt numFmtId="171" formatCode="0\ &quot;cm&quot;"/>
    <numFmt numFmtId="172" formatCode="0.00\ &quot;ha&quot;"/>
    <numFmt numFmtId="173" formatCode="0\ &quot;kg N/ha&quot;"/>
    <numFmt numFmtId="174" formatCode="0\ &quot;%N (kg/dt)&quot;"/>
    <numFmt numFmtId="175" formatCode="0.00\ &quot;kg/l&quot;"/>
    <numFmt numFmtId="176" formatCode="0.00\ &quot;l/min (Wasser) und Düse&quot;"/>
    <numFmt numFmtId="177" formatCode="0\ &quot;l/ha Wasser&quot;"/>
    <numFmt numFmtId="178" formatCode="0.00\ &quot;l/min Dünger und Düse&quot;"/>
    <numFmt numFmtId="179" formatCode="0\ &quot;l/ha Flüssigdünger&quot;"/>
    <numFmt numFmtId="180" formatCode="0.000"/>
    <numFmt numFmtId="181" formatCode="0\ &quot;l&quot;"/>
    <numFmt numFmtId="182" formatCode="0.00\ &quot;l bzw. kg&quot;"/>
  </numFmts>
  <fonts count="30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b/>
      <u/>
      <sz val="12"/>
      <color indexed="12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2"/>
      <color indexed="9"/>
      <name val="Arial"/>
      <family val="2"/>
    </font>
    <font>
      <u/>
      <sz val="12"/>
      <color theme="10"/>
      <name val="Arial"/>
      <family val="2"/>
    </font>
    <font>
      <u/>
      <sz val="14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0"/>
      <name val="Arial"/>
      <family val="2"/>
    </font>
    <font>
      <b/>
      <sz val="14"/>
      <color theme="0"/>
      <name val="Arial"/>
      <family val="2"/>
    </font>
    <font>
      <b/>
      <sz val="13"/>
      <name val="Arial"/>
      <family val="2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b/>
      <sz val="14"/>
      <color rgb="FFFF0000"/>
      <name val="Arial"/>
      <family val="2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b/>
      <sz val="26"/>
      <color theme="1"/>
      <name val="Arial"/>
      <family val="2"/>
    </font>
    <font>
      <sz val="14"/>
      <color theme="1"/>
      <name val="Symbol"/>
      <family val="1"/>
      <charset val="2"/>
    </font>
    <font>
      <sz val="14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844C82"/>
        <bgColor indexed="64"/>
      </patternFill>
    </fill>
    <fill>
      <patternFill patternType="solid">
        <fgColor rgb="FF004F7C"/>
        <bgColor indexed="64"/>
      </patternFill>
    </fill>
    <fill>
      <patternFill patternType="solid">
        <fgColor rgb="FFA72920"/>
        <bgColor indexed="64"/>
      </patternFill>
    </fill>
    <fill>
      <patternFill patternType="solid">
        <fgColor rgb="FF5A3826"/>
        <bgColor indexed="64"/>
      </patternFill>
    </fill>
    <fill>
      <patternFill patternType="solid">
        <fgColor rgb="FF9B9B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8351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gradientFill degree="270">
        <stop position="0">
          <color rgb="FF92D050"/>
        </stop>
        <stop position="1">
          <color rgb="FFFFFF99"/>
        </stop>
      </gradientFill>
    </fill>
    <fill>
      <patternFill patternType="solid">
        <fgColor rgb="FFFFFF99"/>
        <bgColor indexed="64"/>
      </patternFill>
    </fill>
    <fill>
      <gradientFill degree="90">
        <stop position="0">
          <color rgb="FF92D050"/>
        </stop>
        <stop position="1">
          <color rgb="FFFFFF99"/>
        </stop>
      </gradientFill>
    </fill>
    <fill>
      <patternFill patternType="solid">
        <fgColor rgb="FFFACA30"/>
        <bgColor indexed="64"/>
      </patternFill>
    </fill>
    <fill>
      <patternFill patternType="solid">
        <fgColor rgb="FFF1F0EA"/>
        <bgColor indexed="64"/>
      </patternFill>
    </fill>
    <fill>
      <patternFill patternType="solid">
        <fgColor rgb="FF0089B6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66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3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2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4" fillId="0" borderId="0"/>
    <xf numFmtId="0" fontId="21" fillId="0" borderId="0"/>
    <xf numFmtId="0" fontId="3" fillId="0" borderId="0"/>
  </cellStyleXfs>
  <cellXfs count="486">
    <xf numFmtId="0" fontId="0" fillId="0" borderId="0" xfId="0"/>
    <xf numFmtId="0" fontId="6" fillId="0" borderId="0" xfId="0" applyFont="1" applyProtection="1">
      <protection hidden="1"/>
    </xf>
    <xf numFmtId="0" fontId="0" fillId="0" borderId="0" xfId="0" applyProtection="1">
      <protection hidden="1"/>
    </xf>
    <xf numFmtId="0" fontId="6" fillId="2" borderId="0" xfId="0" applyFont="1" applyFill="1" applyProtection="1">
      <protection hidden="1"/>
    </xf>
    <xf numFmtId="0" fontId="5" fillId="2" borderId="0" xfId="0" applyFont="1" applyFill="1" applyAlignment="1" applyProtection="1">
      <alignment horizontal="left" vertical="center"/>
      <protection hidden="1"/>
    </xf>
    <xf numFmtId="0" fontId="0" fillId="2" borderId="0" xfId="0" applyFill="1" applyProtection="1">
      <protection hidden="1"/>
    </xf>
    <xf numFmtId="0" fontId="4" fillId="2" borderId="0" xfId="1" applyFont="1" applyFill="1" applyBorder="1" applyAlignment="1" applyProtection="1">
      <alignment vertical="center" wrapText="1"/>
      <protection hidden="1"/>
    </xf>
    <xf numFmtId="0" fontId="10" fillId="2" borderId="0" xfId="1" applyFont="1" applyFill="1" applyBorder="1" applyAlignment="1" applyProtection="1">
      <alignment vertical="center" wrapText="1"/>
      <protection hidden="1"/>
    </xf>
    <xf numFmtId="168" fontId="5" fillId="11" borderId="1" xfId="0" applyNumberFormat="1" applyFont="1" applyFill="1" applyBorder="1" applyAlignment="1" applyProtection="1">
      <alignment horizontal="center" vertical="center"/>
      <protection locked="0"/>
    </xf>
    <xf numFmtId="164" fontId="5" fillId="11" borderId="1" xfId="0" applyNumberFormat="1" applyFont="1" applyFill="1" applyBorder="1" applyAlignment="1" applyProtection="1">
      <alignment horizontal="center" vertical="center"/>
      <protection locked="0"/>
    </xf>
    <xf numFmtId="0" fontId="13" fillId="2" borderId="0" xfId="2" applyFont="1" applyFill="1" applyAlignment="1" applyProtection="1">
      <alignment horizontal="center" vertical="center"/>
      <protection hidden="1"/>
    </xf>
    <xf numFmtId="0" fontId="2" fillId="2" borderId="0" xfId="0" applyFont="1" applyFill="1" applyProtection="1"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166" fontId="2" fillId="2" borderId="1" xfId="0" applyNumberFormat="1" applyFont="1" applyFill="1" applyBorder="1" applyAlignment="1" applyProtection="1">
      <alignment horizontal="center" vertical="center"/>
      <protection hidden="1"/>
    </xf>
    <xf numFmtId="166" fontId="2" fillId="2" borderId="4" xfId="0" applyNumberFormat="1" applyFont="1" applyFill="1" applyBorder="1" applyAlignment="1" applyProtection="1">
      <alignment horizontal="center" vertical="center"/>
      <protection hidden="1"/>
    </xf>
    <xf numFmtId="164" fontId="2" fillId="2" borderId="19" xfId="0" applyNumberFormat="1" applyFont="1" applyFill="1" applyBorder="1" applyAlignment="1" applyProtection="1">
      <alignment horizontal="center"/>
      <protection hidden="1"/>
    </xf>
    <xf numFmtId="1" fontId="2" fillId="2" borderId="16" xfId="0" applyNumberFormat="1" applyFont="1" applyFill="1" applyBorder="1" applyAlignment="1" applyProtection="1">
      <alignment horizontal="center" vertical="center"/>
      <protection hidden="1"/>
    </xf>
    <xf numFmtId="165" fontId="15" fillId="2" borderId="4" xfId="0" applyNumberFormat="1" applyFont="1" applyFill="1" applyBorder="1" applyAlignment="1" applyProtection="1">
      <alignment horizontal="center" vertical="center"/>
      <protection hidden="1"/>
    </xf>
    <xf numFmtId="165" fontId="15" fillId="2" borderId="2" xfId="0" applyNumberFormat="1" applyFont="1" applyFill="1" applyBorder="1" applyAlignment="1" applyProtection="1">
      <alignment horizontal="center" vertical="center"/>
      <protection hidden="1"/>
    </xf>
    <xf numFmtId="165" fontId="15" fillId="2" borderId="3" xfId="0" applyNumberFormat="1" applyFont="1" applyFill="1" applyBorder="1" applyAlignment="1" applyProtection="1">
      <alignment horizontal="center" vertical="center"/>
      <protection hidden="1"/>
    </xf>
    <xf numFmtId="164" fontId="2" fillId="2" borderId="17" xfId="0" applyNumberFormat="1" applyFont="1" applyFill="1" applyBorder="1" applyAlignment="1" applyProtection="1">
      <alignment horizontal="center"/>
      <protection hidden="1"/>
    </xf>
    <xf numFmtId="164" fontId="2" fillId="2" borderId="18" xfId="0" applyNumberFormat="1" applyFont="1" applyFill="1" applyBorder="1" applyAlignment="1" applyProtection="1">
      <alignment horizontal="center"/>
      <protection hidden="1"/>
    </xf>
    <xf numFmtId="0" fontId="9" fillId="2" borderId="0" xfId="0" applyFont="1" applyFill="1" applyProtection="1">
      <protection hidden="1"/>
    </xf>
    <xf numFmtId="168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15" fillId="17" borderId="1" xfId="0" applyNumberFormat="1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Protection="1">
      <protection hidden="1"/>
    </xf>
    <xf numFmtId="1" fontId="2" fillId="2" borderId="1" xfId="0" applyNumberFormat="1" applyFont="1" applyFill="1" applyBorder="1" applyAlignment="1" applyProtection="1">
      <alignment horizontal="center" vertical="center"/>
      <protection hidden="1"/>
    </xf>
    <xf numFmtId="171" fontId="5" fillId="11" borderId="1" xfId="0" applyNumberFormat="1" applyFont="1" applyFill="1" applyBorder="1" applyAlignment="1" applyProtection="1">
      <alignment horizontal="center" vertical="center"/>
      <protection locked="0"/>
    </xf>
    <xf numFmtId="171" fontId="5" fillId="17" borderId="1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171" fontId="4" fillId="2" borderId="0" xfId="0" applyNumberFormat="1" applyFont="1" applyFill="1" applyBorder="1" applyAlignment="1" applyProtection="1">
      <alignment horizontal="center" vertical="center"/>
      <protection hidden="1"/>
    </xf>
    <xf numFmtId="165" fontId="5" fillId="18" borderId="3" xfId="1" applyNumberFormat="1" applyFont="1" applyFill="1" applyBorder="1" applyAlignment="1" applyProtection="1">
      <alignment horizontal="right" vertical="center"/>
      <protection hidden="1"/>
    </xf>
    <xf numFmtId="165" fontId="17" fillId="5" borderId="3" xfId="1" applyNumberFormat="1" applyFont="1" applyFill="1" applyBorder="1" applyAlignment="1" applyProtection="1">
      <alignment horizontal="right" vertical="center"/>
      <protection hidden="1"/>
    </xf>
    <xf numFmtId="165" fontId="17" fillId="6" borderId="3" xfId="1" applyNumberFormat="1" applyFont="1" applyFill="1" applyBorder="1" applyAlignment="1" applyProtection="1">
      <alignment horizontal="right" vertical="center"/>
      <protection hidden="1"/>
    </xf>
    <xf numFmtId="165" fontId="17" fillId="7" borderId="3" xfId="1" applyNumberFormat="1" applyFont="1" applyFill="1" applyBorder="1" applyAlignment="1" applyProtection="1">
      <alignment horizontal="right" vertical="center"/>
      <protection hidden="1"/>
    </xf>
    <xf numFmtId="165" fontId="17" fillId="8" borderId="3" xfId="1" applyNumberFormat="1" applyFont="1" applyFill="1" applyBorder="1" applyAlignment="1" applyProtection="1">
      <alignment horizontal="right" vertical="center"/>
      <protection hidden="1"/>
    </xf>
    <xf numFmtId="165" fontId="5" fillId="9" borderId="3" xfId="1" applyNumberFormat="1" applyFont="1" applyFill="1" applyBorder="1" applyAlignment="1" applyProtection="1">
      <alignment horizontal="right" vertical="center"/>
      <protection hidden="1"/>
    </xf>
    <xf numFmtId="0" fontId="2" fillId="0" borderId="0" xfId="0" applyFont="1"/>
    <xf numFmtId="165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5" fontId="2" fillId="2" borderId="2" xfId="0" applyNumberFormat="1" applyFont="1" applyFill="1" applyBorder="1" applyAlignment="1" applyProtection="1">
      <alignment horizontal="center"/>
      <protection hidden="1"/>
    </xf>
    <xf numFmtId="164" fontId="5" fillId="3" borderId="1" xfId="1" applyNumberFormat="1" applyFont="1" applyFill="1" applyBorder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16" fillId="2" borderId="12" xfId="0" applyFont="1" applyFill="1" applyBorder="1" applyAlignment="1" applyProtection="1">
      <protection hidden="1"/>
    </xf>
    <xf numFmtId="0" fontId="19" fillId="2" borderId="0" xfId="0" applyFont="1" applyFill="1" applyProtection="1">
      <protection hidden="1"/>
    </xf>
    <xf numFmtId="169" fontId="15" fillId="17" borderId="1" xfId="0" applyNumberFormat="1" applyFont="1" applyFill="1" applyBorder="1" applyAlignment="1" applyProtection="1">
      <alignment horizontal="center"/>
      <protection hidden="1"/>
    </xf>
    <xf numFmtId="172" fontId="5" fillId="11" borderId="1" xfId="0" applyNumberFormat="1" applyFont="1" applyFill="1" applyBorder="1" applyAlignment="1" applyProtection="1">
      <alignment horizontal="center" vertical="center"/>
      <protection locked="0"/>
    </xf>
    <xf numFmtId="171" fontId="5" fillId="2" borderId="0" xfId="0" applyNumberFormat="1" applyFont="1" applyFill="1" applyBorder="1" applyAlignment="1" applyProtection="1">
      <alignment horizontal="center" vertical="center"/>
      <protection hidden="1"/>
    </xf>
    <xf numFmtId="164" fontId="2" fillId="2" borderId="1" xfId="0" applyNumberFormat="1" applyFont="1" applyFill="1" applyBorder="1" applyAlignment="1" applyProtection="1">
      <alignment horizontal="center"/>
      <protection hidden="1"/>
    </xf>
    <xf numFmtId="164" fontId="4" fillId="2" borderId="0" xfId="0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vertical="center" wrapText="1"/>
      <protection hidden="1"/>
    </xf>
    <xf numFmtId="17" fontId="2" fillId="0" borderId="0" xfId="0" applyNumberFormat="1" applyFont="1" applyAlignment="1">
      <alignment horizontal="center" vertical="center"/>
    </xf>
    <xf numFmtId="0" fontId="6" fillId="0" borderId="0" xfId="8" applyFont="1" applyProtection="1">
      <protection hidden="1"/>
    </xf>
    <xf numFmtId="173" fontId="4" fillId="11" borderId="1" xfId="8" applyNumberFormat="1" applyFont="1" applyFill="1" applyBorder="1" applyAlignment="1" applyProtection="1">
      <alignment horizontal="center" vertical="center"/>
      <protection locked="0"/>
    </xf>
    <xf numFmtId="0" fontId="5" fillId="0" borderId="0" xfId="8" applyFont="1" applyAlignment="1" applyProtection="1">
      <alignment horizontal="left" vertical="center"/>
      <protection hidden="1"/>
    </xf>
    <xf numFmtId="0" fontId="4" fillId="0" borderId="0" xfId="1" applyFont="1" applyFill="1" applyBorder="1" applyAlignment="1" applyProtection="1">
      <alignment vertical="center" wrapText="1"/>
      <protection hidden="1"/>
    </xf>
    <xf numFmtId="0" fontId="4" fillId="0" borderId="0" xfId="8" applyFont="1" applyAlignment="1" applyProtection="1">
      <alignment horizontal="center" vertical="center"/>
      <protection hidden="1"/>
    </xf>
    <xf numFmtId="0" fontId="21" fillId="0" borderId="0" xfId="8" applyProtection="1">
      <protection hidden="1"/>
    </xf>
    <xf numFmtId="0" fontId="8" fillId="0" borderId="0" xfId="2" applyFont="1" applyAlignment="1" applyProtection="1">
      <alignment wrapText="1"/>
      <protection hidden="1"/>
    </xf>
    <xf numFmtId="164" fontId="4" fillId="11" borderId="1" xfId="8" applyNumberFormat="1" applyFont="1" applyFill="1" applyBorder="1" applyAlignment="1" applyProtection="1">
      <alignment horizontal="center" vertical="center"/>
      <protection locked="0"/>
    </xf>
    <xf numFmtId="164" fontId="4" fillId="3" borderId="1" xfId="1" applyNumberFormat="1" applyFont="1" applyFill="1" applyBorder="1" applyAlignment="1" applyProtection="1">
      <alignment horizontal="center" vertical="center" wrapText="1"/>
      <protection hidden="1"/>
    </xf>
    <xf numFmtId="174" fontId="4" fillId="27" borderId="1" xfId="8" applyNumberFormat="1" applyFont="1" applyFill="1" applyBorder="1" applyAlignment="1" applyProtection="1">
      <alignment horizontal="center" vertical="center"/>
      <protection locked="0"/>
    </xf>
    <xf numFmtId="171" fontId="4" fillId="11" borderId="1" xfId="8" applyNumberFormat="1" applyFont="1" applyFill="1" applyBorder="1" applyAlignment="1" applyProtection="1">
      <alignment horizontal="center" vertical="center"/>
      <protection locked="0"/>
    </xf>
    <xf numFmtId="171" fontId="6" fillId="0" borderId="0" xfId="8" applyNumberFormat="1" applyFont="1" applyProtection="1">
      <protection hidden="1"/>
    </xf>
    <xf numFmtId="0" fontId="5" fillId="28" borderId="1" xfId="8" applyFont="1" applyFill="1" applyBorder="1" applyAlignment="1" applyProtection="1">
      <alignment horizontal="center" vertical="center"/>
      <protection locked="0"/>
    </xf>
    <xf numFmtId="175" fontId="4" fillId="29" borderId="1" xfId="8" applyNumberFormat="1" applyFont="1" applyFill="1" applyBorder="1" applyAlignment="1" applyProtection="1">
      <alignment horizontal="center" vertical="center"/>
      <protection locked="0"/>
    </xf>
    <xf numFmtId="0" fontId="22" fillId="0" borderId="0" xfId="8" applyFont="1" applyAlignment="1" applyProtection="1">
      <alignment vertical="center"/>
      <protection hidden="1"/>
    </xf>
    <xf numFmtId="0" fontId="22" fillId="0" borderId="0" xfId="8" applyFont="1" applyBorder="1" applyAlignment="1" applyProtection="1">
      <alignment vertical="center"/>
      <protection hidden="1"/>
    </xf>
    <xf numFmtId="0" fontId="9" fillId="0" borderId="0" xfId="8" applyFont="1" applyBorder="1" applyProtection="1">
      <protection hidden="1"/>
    </xf>
    <xf numFmtId="0" fontId="9" fillId="0" borderId="0" xfId="8" applyFont="1" applyProtection="1">
      <protection hidden="1"/>
    </xf>
    <xf numFmtId="164" fontId="4" fillId="3" borderId="1" xfId="1" applyNumberFormat="1" applyFont="1" applyFill="1" applyBorder="1" applyAlignment="1" applyProtection="1">
      <alignment vertical="center" wrapText="1"/>
      <protection hidden="1"/>
    </xf>
    <xf numFmtId="0" fontId="23" fillId="20" borderId="1" xfId="7" quotePrefix="1" applyFont="1" applyFill="1" applyBorder="1" applyAlignment="1">
      <alignment horizontal="center" vertical="center"/>
    </xf>
    <xf numFmtId="0" fontId="23" fillId="19" borderId="1" xfId="7" quotePrefix="1" applyFont="1" applyFill="1" applyBorder="1" applyAlignment="1">
      <alignment horizontal="center" vertical="center"/>
    </xf>
    <xf numFmtId="0" fontId="23" fillId="30" borderId="1" xfId="7" quotePrefix="1" applyFont="1" applyFill="1" applyBorder="1" applyAlignment="1">
      <alignment horizontal="center" vertical="center" wrapText="1"/>
    </xf>
    <xf numFmtId="0" fontId="24" fillId="5" borderId="1" xfId="7" quotePrefix="1" applyFont="1" applyFill="1" applyBorder="1" applyAlignment="1">
      <alignment horizontal="center" vertical="center" wrapText="1"/>
    </xf>
    <xf numFmtId="0" fontId="24" fillId="6" borderId="1" xfId="7" quotePrefix="1" applyFont="1" applyFill="1" applyBorder="1" applyAlignment="1">
      <alignment horizontal="center" vertical="center" wrapText="1"/>
    </xf>
    <xf numFmtId="0" fontId="24" fillId="7" borderId="1" xfId="7" quotePrefix="1" applyFont="1" applyFill="1" applyBorder="1" applyAlignment="1">
      <alignment horizontal="center" vertical="center" wrapText="1"/>
    </xf>
    <xf numFmtId="0" fontId="24" fillId="8" borderId="1" xfId="7" quotePrefix="1" applyFont="1" applyFill="1" applyBorder="1" applyAlignment="1">
      <alignment horizontal="center" vertical="center" wrapText="1"/>
    </xf>
    <xf numFmtId="0" fontId="23" fillId="9" borderId="1" xfId="7" quotePrefix="1" applyFont="1" applyFill="1" applyBorder="1" applyAlignment="1">
      <alignment horizontal="center" vertical="center" wrapText="1"/>
    </xf>
    <xf numFmtId="0" fontId="23" fillId="31" borderId="1" xfId="7" quotePrefix="1" applyFont="1" applyFill="1" applyBorder="1" applyAlignment="1">
      <alignment horizontal="center" vertical="center" wrapText="1"/>
    </xf>
    <xf numFmtId="0" fontId="24" fillId="32" borderId="1" xfId="7" quotePrefix="1" applyFont="1" applyFill="1" applyBorder="1" applyAlignment="1">
      <alignment horizontal="center" vertical="center" wrapText="1"/>
    </xf>
    <xf numFmtId="0" fontId="23" fillId="33" borderId="1" xfId="7" quotePrefix="1" applyFont="1" applyFill="1" applyBorder="1" applyAlignment="1">
      <alignment horizontal="center" vertical="center" wrapText="1"/>
    </xf>
    <xf numFmtId="49" fontId="25" fillId="34" borderId="1" xfId="8" quotePrefix="1" applyNumberFormat="1" applyFont="1" applyFill="1" applyBorder="1" applyAlignment="1" applyProtection="1">
      <alignment horizontal="center" vertical="center" wrapText="1"/>
      <protection hidden="1"/>
    </xf>
    <xf numFmtId="0" fontId="5" fillId="35" borderId="10" xfId="9" applyFont="1" applyFill="1" applyBorder="1" applyAlignment="1" applyProtection="1">
      <alignment horizontal="center" vertical="center" wrapText="1"/>
    </xf>
    <xf numFmtId="0" fontId="5" fillId="35" borderId="10" xfId="9" applyFont="1" applyFill="1" applyBorder="1" applyAlignment="1" applyProtection="1">
      <alignment horizontal="center" vertical="center"/>
    </xf>
    <xf numFmtId="165" fontId="5" fillId="35" borderId="10" xfId="9" applyNumberFormat="1" applyFont="1" applyFill="1" applyBorder="1" applyAlignment="1" applyProtection="1">
      <alignment horizontal="center" vertical="center"/>
    </xf>
    <xf numFmtId="165" fontId="5" fillId="35" borderId="11" xfId="9" applyNumberFormat="1" applyFont="1" applyFill="1" applyBorder="1" applyAlignment="1" applyProtection="1">
      <alignment horizontal="center" vertical="center"/>
    </xf>
    <xf numFmtId="166" fontId="15" fillId="17" borderId="1" xfId="8" applyNumberFormat="1" applyFont="1" applyFill="1" applyBorder="1" applyAlignment="1" applyProtection="1">
      <alignment horizontal="center" vertical="center"/>
      <protection hidden="1"/>
    </xf>
    <xf numFmtId="166" fontId="15" fillId="17" borderId="1" xfId="8" applyNumberFormat="1" applyFont="1" applyFill="1" applyBorder="1" applyAlignment="1">
      <alignment horizontal="center" vertical="center"/>
    </xf>
    <xf numFmtId="0" fontId="6" fillId="2" borderId="0" xfId="8" applyFont="1" applyFill="1" applyProtection="1">
      <protection hidden="1"/>
    </xf>
    <xf numFmtId="0" fontId="4" fillId="0" borderId="0" xfId="1" applyFont="1" applyFill="1" applyAlignment="1" applyProtection="1">
      <alignment vertical="center" wrapText="1"/>
      <protection hidden="1"/>
    </xf>
    <xf numFmtId="0" fontId="6" fillId="0" borderId="0" xfId="8" applyFont="1" applyFill="1" applyBorder="1" applyProtection="1">
      <protection hidden="1"/>
    </xf>
    <xf numFmtId="0" fontId="6" fillId="0" borderId="0" xfId="1" applyFont="1" applyFill="1" applyProtection="1">
      <protection hidden="1"/>
    </xf>
    <xf numFmtId="0" fontId="6" fillId="0" borderId="0" xfId="8" applyFont="1" applyFill="1" applyProtection="1">
      <protection hidden="1"/>
    </xf>
    <xf numFmtId="0" fontId="6" fillId="0" borderId="0" xfId="1" applyFont="1" applyFill="1" applyAlignment="1" applyProtection="1">
      <alignment horizontal="center"/>
      <protection hidden="1"/>
    </xf>
    <xf numFmtId="0" fontId="6" fillId="0" borderId="0" xfId="1" applyFont="1" applyFill="1" applyAlignment="1" applyProtection="1">
      <alignment horizontal="center" vertical="center"/>
      <protection hidden="1"/>
    </xf>
    <xf numFmtId="0" fontId="6" fillId="0" borderId="0" xfId="8" applyFont="1"/>
    <xf numFmtId="1" fontId="6" fillId="0" borderId="0" xfId="8" applyNumberFormat="1" applyFont="1"/>
    <xf numFmtId="180" fontId="6" fillId="0" borderId="0" xfId="8" applyNumberFormat="1" applyFont="1"/>
    <xf numFmtId="2" fontId="6" fillId="0" borderId="0" xfId="8" applyNumberFormat="1" applyFont="1"/>
    <xf numFmtId="173" fontId="6" fillId="0" borderId="0" xfId="8" applyNumberFormat="1" applyFont="1"/>
    <xf numFmtId="175" fontId="6" fillId="0" borderId="0" xfId="8" applyNumberFormat="1" applyFont="1"/>
    <xf numFmtId="166" fontId="2" fillId="2" borderId="0" xfId="0" applyNumberFormat="1" applyFont="1" applyFill="1" applyBorder="1" applyAlignment="1" applyProtection="1">
      <alignment horizontal="center" vertical="center"/>
      <protection hidden="1"/>
    </xf>
    <xf numFmtId="1" fontId="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Protection="1">
      <protection hidden="1"/>
    </xf>
    <xf numFmtId="0" fontId="17" fillId="6" borderId="1" xfId="0" applyFont="1" applyFill="1" applyBorder="1" applyAlignment="1" applyProtection="1">
      <alignment horizontal="center" vertical="center"/>
      <protection hidden="1"/>
    </xf>
    <xf numFmtId="0" fontId="17" fillId="7" borderId="1" xfId="0" applyFont="1" applyFill="1" applyBorder="1" applyAlignment="1" applyProtection="1">
      <alignment horizontal="center" vertical="center"/>
      <protection hidden="1"/>
    </xf>
    <xf numFmtId="0" fontId="17" fillId="8" borderId="1" xfId="0" applyFont="1" applyFill="1" applyBorder="1" applyAlignment="1" applyProtection="1">
      <alignment horizontal="center" vertical="center"/>
      <protection hidden="1"/>
    </xf>
    <xf numFmtId="0" fontId="15" fillId="9" borderId="1" xfId="0" applyFont="1" applyFill="1" applyBorder="1" applyAlignment="1" applyProtection="1">
      <alignment horizontal="center" vertical="center"/>
      <protection hidden="1"/>
    </xf>
    <xf numFmtId="0" fontId="17" fillId="5" borderId="1" xfId="0" applyFont="1" applyFill="1" applyBorder="1" applyAlignment="1" applyProtection="1">
      <alignment horizontal="center" vertical="center"/>
      <protection hidden="1"/>
    </xf>
    <xf numFmtId="0" fontId="5" fillId="18" borderId="1" xfId="0" applyFont="1" applyFill="1" applyBorder="1" applyAlignment="1" applyProtection="1">
      <alignment horizontal="center" vertical="center"/>
      <protection hidden="1"/>
    </xf>
    <xf numFmtId="165" fontId="2" fillId="14" borderId="0" xfId="0" applyNumberFormat="1" applyFont="1" applyFill="1" applyAlignment="1">
      <alignment horizontal="center"/>
    </xf>
    <xf numFmtId="0" fontId="2" fillId="14" borderId="0" xfId="0" applyFont="1" applyFill="1"/>
    <xf numFmtId="0" fontId="2" fillId="2" borderId="0" xfId="0" applyFont="1" applyFill="1" applyBorder="1" applyProtection="1"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alignment horizontal="center"/>
      <protection hidden="1"/>
    </xf>
    <xf numFmtId="165" fontId="15" fillId="2" borderId="0" xfId="0" applyNumberFormat="1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169" fontId="4" fillId="2" borderId="0" xfId="1" applyNumberFormat="1" applyFont="1" applyFill="1" applyBorder="1" applyAlignment="1" applyProtection="1">
      <alignment horizontal="center" vertical="center"/>
      <protection hidden="1"/>
    </xf>
    <xf numFmtId="0" fontId="26" fillId="2" borderId="0" xfId="0" applyFont="1" applyFill="1" applyProtection="1">
      <protection hidden="1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71" fontId="1" fillId="2" borderId="1" xfId="0" applyNumberFormat="1" applyFont="1" applyFill="1" applyBorder="1" applyAlignment="1">
      <alignment horizontal="center" vertical="center"/>
    </xf>
    <xf numFmtId="0" fontId="1" fillId="2" borderId="1" xfId="0" quotePrefix="1" applyNumberFormat="1" applyFont="1" applyFill="1" applyBorder="1" applyAlignment="1">
      <alignment horizontal="center" vertical="center"/>
    </xf>
    <xf numFmtId="20" fontId="1" fillId="2" borderId="1" xfId="0" quotePrefix="1" applyNumberFormat="1" applyFont="1" applyFill="1" applyBorder="1" applyAlignment="1">
      <alignment horizontal="center" vertical="center"/>
    </xf>
    <xf numFmtId="0" fontId="1" fillId="2" borderId="1" xfId="0" quotePrefix="1" applyFont="1" applyFill="1" applyBorder="1" applyAlignment="1">
      <alignment horizontal="center" vertical="center"/>
    </xf>
    <xf numFmtId="0" fontId="15" fillId="20" borderId="1" xfId="7" quotePrefix="1" applyFont="1" applyFill="1" applyBorder="1" applyAlignment="1" applyProtection="1">
      <alignment horizontal="center" vertical="center"/>
      <protection hidden="1"/>
    </xf>
    <xf numFmtId="165" fontId="15" fillId="2" borderId="3" xfId="0" applyNumberFormat="1" applyFont="1" applyFill="1" applyBorder="1" applyProtection="1">
      <protection hidden="1"/>
    </xf>
    <xf numFmtId="165" fontId="2" fillId="2" borderId="3" xfId="0" applyNumberFormat="1" applyFont="1" applyFill="1" applyBorder="1" applyAlignment="1" applyProtection="1">
      <alignment horizontal="center" vertical="center"/>
      <protection hidden="1"/>
    </xf>
    <xf numFmtId="165" fontId="2" fillId="2" borderId="4" xfId="0" applyNumberFormat="1" applyFont="1" applyFill="1" applyBorder="1" applyAlignment="1" applyProtection="1">
      <alignment horizontal="center"/>
      <protection hidden="1"/>
    </xf>
    <xf numFmtId="0" fontId="15" fillId="19" borderId="1" xfId="7" quotePrefix="1" applyFont="1" applyFill="1" applyBorder="1" applyAlignment="1" applyProtection="1">
      <alignment horizontal="center" vertical="center"/>
      <protection hidden="1"/>
    </xf>
    <xf numFmtId="165" fontId="15" fillId="2" borderId="0" xfId="0" applyNumberFormat="1" applyFont="1" applyFill="1" applyBorder="1" applyProtection="1">
      <protection hidden="1"/>
    </xf>
    <xf numFmtId="165" fontId="2" fillId="2" borderId="0" xfId="0" applyNumberFormat="1" applyFont="1" applyFill="1" applyBorder="1" applyAlignment="1" applyProtection="1">
      <alignment horizontal="center" vertical="center"/>
      <protection hidden="1"/>
    </xf>
    <xf numFmtId="0" fontId="17" fillId="7" borderId="1" xfId="7" quotePrefix="1" applyFont="1" applyFill="1" applyBorder="1" applyAlignment="1" applyProtection="1">
      <alignment horizontal="center" vertical="center"/>
      <protection hidden="1"/>
    </xf>
    <xf numFmtId="0" fontId="2" fillId="23" borderId="11" xfId="0" applyFont="1" applyFill="1" applyBorder="1" applyAlignment="1" applyProtection="1">
      <alignment vertical="center"/>
      <protection hidden="1"/>
    </xf>
    <xf numFmtId="0" fontId="2" fillId="22" borderId="11" xfId="0" applyFont="1" applyFill="1" applyBorder="1" applyAlignment="1" applyProtection="1">
      <alignment vertical="center"/>
      <protection hidden="1"/>
    </xf>
    <xf numFmtId="0" fontId="17" fillId="22" borderId="8" xfId="0" applyFont="1" applyFill="1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right" vertical="center"/>
      <protection hidden="1"/>
    </xf>
    <xf numFmtId="0" fontId="13" fillId="2" borderId="12" xfId="2" applyFont="1" applyFill="1" applyBorder="1" applyAlignment="1" applyProtection="1">
      <alignment horizontal="center" vertical="center" wrapText="1"/>
      <protection hidden="1"/>
    </xf>
    <xf numFmtId="0" fontId="13" fillId="2" borderId="0" xfId="2" applyFont="1" applyFill="1" applyBorder="1" applyAlignment="1" applyProtection="1">
      <alignment horizontal="center" vertical="center" wrapText="1"/>
      <protection hidden="1"/>
    </xf>
    <xf numFmtId="0" fontId="13" fillId="2" borderId="13" xfId="2" applyFont="1" applyFill="1" applyBorder="1" applyAlignment="1" applyProtection="1">
      <alignment horizontal="center" vertical="center" wrapText="1"/>
      <protection hidden="1"/>
    </xf>
    <xf numFmtId="0" fontId="2" fillId="2" borderId="12" xfId="0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2" fillId="2" borderId="13" xfId="0" applyFont="1" applyFill="1" applyBorder="1" applyAlignment="1" applyProtection="1">
      <alignment horizontal="center"/>
      <protection hidden="1"/>
    </xf>
    <xf numFmtId="0" fontId="6" fillId="37" borderId="0" xfId="0" applyFont="1" applyFill="1" applyProtection="1">
      <protection hidden="1"/>
    </xf>
    <xf numFmtId="168" fontId="4" fillId="37" borderId="0" xfId="0" applyNumberFormat="1" applyFont="1" applyFill="1" applyBorder="1" applyAlignment="1" applyProtection="1">
      <alignment horizontal="center" vertical="center"/>
      <protection hidden="1"/>
    </xf>
    <xf numFmtId="0" fontId="2" fillId="37" borderId="0" xfId="0" applyFont="1" applyFill="1" applyProtection="1">
      <protection hidden="1"/>
    </xf>
    <xf numFmtId="0" fontId="0" fillId="37" borderId="0" xfId="0" applyFill="1" applyProtection="1">
      <protection hidden="1"/>
    </xf>
    <xf numFmtId="0" fontId="4" fillId="37" borderId="0" xfId="0" applyFont="1" applyFill="1" applyAlignment="1" applyProtection="1">
      <alignment horizontal="center" vertical="center"/>
      <protection hidden="1"/>
    </xf>
    <xf numFmtId="0" fontId="8" fillId="37" borderId="0" xfId="2" applyFont="1" applyFill="1" applyAlignment="1" applyProtection="1">
      <alignment wrapText="1"/>
      <protection hidden="1"/>
    </xf>
    <xf numFmtId="0" fontId="4" fillId="37" borderId="0" xfId="1" applyFont="1" applyFill="1" applyBorder="1" applyAlignment="1" applyProtection="1">
      <alignment vertical="center" wrapText="1"/>
      <protection hidden="1"/>
    </xf>
    <xf numFmtId="164" fontId="4" fillId="37" borderId="0" xfId="0" applyNumberFormat="1" applyFont="1" applyFill="1" applyBorder="1" applyAlignment="1" applyProtection="1">
      <alignment horizontal="center" vertical="center"/>
      <protection hidden="1"/>
    </xf>
    <xf numFmtId="0" fontId="9" fillId="37" borderId="0" xfId="0" applyFont="1" applyFill="1" applyAlignment="1" applyProtection="1">
      <alignment vertical="center" wrapText="1"/>
      <protection hidden="1"/>
    </xf>
    <xf numFmtId="171" fontId="4" fillId="37" borderId="0" xfId="0" applyNumberFormat="1" applyFont="1" applyFill="1" applyBorder="1" applyAlignment="1" applyProtection="1">
      <alignment horizontal="center" vertical="center"/>
      <protection hidden="1"/>
    </xf>
    <xf numFmtId="1" fontId="27" fillId="37" borderId="0" xfId="0" applyNumberFormat="1" applyFont="1" applyFill="1" applyBorder="1" applyAlignment="1" applyProtection="1">
      <alignment vertical="center"/>
      <protection hidden="1"/>
    </xf>
    <xf numFmtId="0" fontId="2" fillId="16" borderId="10" xfId="0" applyFont="1" applyFill="1" applyBorder="1" applyAlignment="1" applyProtection="1">
      <alignment vertical="center"/>
      <protection hidden="1"/>
    </xf>
    <xf numFmtId="0" fontId="2" fillId="16" borderId="11" xfId="0" applyFont="1" applyFill="1" applyBorder="1" applyAlignment="1" applyProtection="1">
      <alignment vertical="center"/>
      <protection hidden="1"/>
    </xf>
    <xf numFmtId="0" fontId="2" fillId="24" borderId="10" xfId="0" applyFont="1" applyFill="1" applyBorder="1" applyAlignment="1" applyProtection="1">
      <alignment vertical="center" wrapText="1"/>
      <protection hidden="1"/>
    </xf>
    <xf numFmtId="0" fontId="2" fillId="24" borderId="11" xfId="0" applyFont="1" applyFill="1" applyBorder="1" applyAlignment="1" applyProtection="1">
      <alignment vertical="center"/>
      <protection hidden="1"/>
    </xf>
    <xf numFmtId="0" fontId="17" fillId="24" borderId="11" xfId="0" applyFont="1" applyFill="1" applyBorder="1" applyAlignment="1" applyProtection="1">
      <alignment vertical="center"/>
      <protection hidden="1"/>
    </xf>
    <xf numFmtId="0" fontId="15" fillId="16" borderId="8" xfId="0" applyFont="1" applyFill="1" applyBorder="1" applyAlignment="1" applyProtection="1">
      <alignment vertical="center"/>
      <protection hidden="1"/>
    </xf>
    <xf numFmtId="0" fontId="15" fillId="23" borderId="8" xfId="0" applyFont="1" applyFill="1" applyBorder="1" applyAlignment="1" applyProtection="1">
      <alignment horizontal="center" vertical="center"/>
      <protection hidden="1"/>
    </xf>
    <xf numFmtId="168" fontId="5" fillId="17" borderId="1" xfId="0" applyNumberFormat="1" applyFont="1" applyFill="1" applyBorder="1" applyAlignment="1" applyProtection="1">
      <alignment horizontal="center" vertical="center"/>
      <protection hidden="1"/>
    </xf>
    <xf numFmtId="164" fontId="5" fillId="17" borderId="1" xfId="0" applyNumberFormat="1" applyFont="1" applyFill="1" applyBorder="1" applyAlignment="1" applyProtection="1">
      <alignment horizontal="center" vertical="center"/>
      <protection hidden="1"/>
    </xf>
    <xf numFmtId="164" fontId="5" fillId="10" borderId="8" xfId="1" applyNumberFormat="1" applyFont="1" applyFill="1" applyBorder="1" applyAlignment="1" applyProtection="1">
      <alignment vertical="center" wrapText="1"/>
      <protection hidden="1"/>
    </xf>
    <xf numFmtId="0" fontId="16" fillId="2" borderId="0" xfId="0" applyFont="1" applyFill="1" applyBorder="1" applyProtection="1">
      <protection hidden="1"/>
    </xf>
    <xf numFmtId="168" fontId="5" fillId="2" borderId="0" xfId="0" applyNumberFormat="1" applyFont="1" applyFill="1" applyBorder="1" applyAlignment="1" applyProtection="1">
      <alignment horizontal="center" vertical="center"/>
      <protection hidden="1"/>
    </xf>
    <xf numFmtId="166" fontId="15" fillId="2" borderId="0" xfId="0" applyNumberFormat="1" applyFont="1" applyFill="1" applyBorder="1" applyAlignment="1" applyProtection="1">
      <alignment horizontal="center" vertical="center"/>
      <protection hidden="1"/>
    </xf>
    <xf numFmtId="164" fontId="5" fillId="2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protection hidden="1"/>
    </xf>
    <xf numFmtId="0" fontId="18" fillId="2" borderId="0" xfId="0" applyFont="1" applyFill="1" applyAlignment="1" applyProtection="1">
      <protection hidden="1"/>
    </xf>
    <xf numFmtId="0" fontId="2" fillId="2" borderId="0" xfId="0" applyFont="1" applyFill="1" applyBorder="1" applyAlignment="1" applyProtection="1">
      <protection hidden="1"/>
    </xf>
    <xf numFmtId="2" fontId="5" fillId="11" borderId="1" xfId="0" applyNumberFormat="1" applyFont="1" applyFill="1" applyBorder="1" applyAlignment="1" applyProtection="1">
      <alignment horizontal="center" vertical="center"/>
      <protection locked="0"/>
    </xf>
    <xf numFmtId="171" fontId="5" fillId="2" borderId="0" xfId="0" applyNumberFormat="1" applyFont="1" applyFill="1" applyBorder="1" applyAlignment="1" applyProtection="1">
      <alignment horizontal="center" vertical="center"/>
      <protection locked="0"/>
    </xf>
    <xf numFmtId="169" fontId="15" fillId="2" borderId="0" xfId="0" applyNumberFormat="1" applyFont="1" applyFill="1" applyBorder="1" applyAlignment="1" applyProtection="1">
      <alignment horizontal="center"/>
      <protection hidden="1"/>
    </xf>
    <xf numFmtId="172" fontId="5" fillId="2" borderId="0" xfId="0" applyNumberFormat="1" applyFont="1" applyFill="1" applyBorder="1" applyAlignment="1" applyProtection="1">
      <alignment horizontal="center" vertical="center"/>
      <protection locked="0"/>
    </xf>
    <xf numFmtId="172" fontId="5" fillId="2" borderId="0" xfId="0" applyNumberFormat="1" applyFont="1" applyFill="1" applyBorder="1" applyAlignment="1" applyProtection="1">
      <alignment horizontal="center" vertical="center"/>
      <protection hidden="1"/>
    </xf>
    <xf numFmtId="0" fontId="19" fillId="2" borderId="0" xfId="0" applyFont="1" applyFill="1" applyBorder="1" applyProtection="1">
      <protection hidden="1"/>
    </xf>
    <xf numFmtId="0" fontId="15" fillId="9" borderId="1" xfId="0" quotePrefix="1" applyFont="1" applyFill="1" applyBorder="1" applyAlignment="1" applyProtection="1">
      <alignment horizontal="center" vertical="center"/>
      <protection hidden="1"/>
    </xf>
    <xf numFmtId="181" fontId="5" fillId="17" borderId="0" xfId="0" applyNumberFormat="1" applyFont="1" applyFill="1" applyBorder="1" applyAlignment="1" applyProtection="1">
      <alignment horizontal="center" vertical="center"/>
      <protection hidden="1"/>
    </xf>
    <xf numFmtId="181" fontId="15" fillId="17" borderId="0" xfId="0" applyNumberFormat="1" applyFont="1" applyFill="1" applyBorder="1" applyAlignment="1" applyProtection="1">
      <alignment horizontal="center"/>
      <protection hidden="1"/>
    </xf>
    <xf numFmtId="2" fontId="17" fillId="2" borderId="0" xfId="0" applyNumberFormat="1" applyFont="1" applyFill="1" applyBorder="1" applyAlignment="1" applyProtection="1">
      <alignment horizontal="center"/>
      <protection hidden="1"/>
    </xf>
    <xf numFmtId="2" fontId="2" fillId="2" borderId="0" xfId="0" applyNumberFormat="1" applyFont="1" applyFill="1" applyProtection="1">
      <protection hidden="1"/>
    </xf>
    <xf numFmtId="165" fontId="2" fillId="2" borderId="0" xfId="0" applyNumberFormat="1" applyFont="1" applyFill="1" applyProtection="1">
      <protection hidden="1"/>
    </xf>
    <xf numFmtId="1" fontId="2" fillId="2" borderId="0" xfId="0" applyNumberFormat="1" applyFont="1" applyFill="1" applyProtection="1">
      <protection hidden="1"/>
    </xf>
    <xf numFmtId="0" fontId="28" fillId="2" borderId="0" xfId="0" applyFont="1" applyFill="1" applyProtection="1">
      <protection hidden="1"/>
    </xf>
    <xf numFmtId="0" fontId="29" fillId="2" borderId="0" xfId="0" applyFont="1" applyFill="1" applyProtection="1"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164" fontId="2" fillId="9" borderId="18" xfId="0" applyNumberFormat="1" applyFont="1" applyFill="1" applyBorder="1" applyAlignment="1" applyProtection="1">
      <alignment horizontal="center"/>
      <protection hidden="1"/>
    </xf>
    <xf numFmtId="164" fontId="2" fillId="9" borderId="16" xfId="0" applyNumberFormat="1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left"/>
      <protection hidden="1"/>
    </xf>
    <xf numFmtId="164" fontId="16" fillId="2" borderId="16" xfId="0" applyNumberFormat="1" applyFont="1" applyFill="1" applyBorder="1" applyAlignment="1" applyProtection="1">
      <alignment horizontal="center"/>
      <protection hidden="1"/>
    </xf>
    <xf numFmtId="164" fontId="16" fillId="2" borderId="17" xfId="0" applyNumberFormat="1" applyFont="1" applyFill="1" applyBorder="1" applyAlignment="1" applyProtection="1">
      <alignment horizontal="center"/>
      <protection hidden="1"/>
    </xf>
    <xf numFmtId="164" fontId="16" fillId="2" borderId="18" xfId="0" applyNumberFormat="1" applyFont="1" applyFill="1" applyBorder="1" applyAlignment="1" applyProtection="1">
      <alignment horizontal="center"/>
      <protection hidden="1"/>
    </xf>
    <xf numFmtId="0" fontId="15" fillId="2" borderId="16" xfId="0" applyFont="1" applyFill="1" applyBorder="1" applyAlignment="1" applyProtection="1">
      <alignment horizontal="center"/>
      <protection hidden="1"/>
    </xf>
    <xf numFmtId="0" fontId="15" fillId="2" borderId="17" xfId="0" applyFont="1" applyFill="1" applyBorder="1" applyAlignment="1" applyProtection="1">
      <alignment horizontal="center"/>
      <protection hidden="1"/>
    </xf>
    <xf numFmtId="0" fontId="15" fillId="2" borderId="18" xfId="0" applyFont="1" applyFill="1" applyBorder="1" applyAlignment="1" applyProtection="1">
      <alignment horizontal="center"/>
      <protection hidden="1"/>
    </xf>
    <xf numFmtId="169" fontId="5" fillId="28" borderId="1" xfId="0" applyNumberFormat="1" applyFont="1" applyFill="1" applyBorder="1" applyAlignment="1" applyProtection="1">
      <alignment horizontal="center" vertical="center"/>
      <protection locked="0"/>
    </xf>
    <xf numFmtId="169" fontId="15" fillId="2" borderId="1" xfId="0" applyNumberFormat="1" applyFont="1" applyFill="1" applyBorder="1" applyAlignment="1" applyProtection="1">
      <alignment horizontal="center"/>
      <protection hidden="1"/>
    </xf>
    <xf numFmtId="0" fontId="2" fillId="2" borderId="20" xfId="0" applyFont="1" applyFill="1" applyBorder="1" applyAlignment="1" applyProtection="1">
      <alignment horizontal="center" vertical="center"/>
      <protection hidden="1"/>
    </xf>
    <xf numFmtId="0" fontId="2" fillId="2" borderId="21" xfId="0" applyFont="1" applyFill="1" applyBorder="1" applyAlignment="1" applyProtection="1">
      <alignment horizontal="center" vertical="center"/>
      <protection hidden="1"/>
    </xf>
    <xf numFmtId="0" fontId="2" fillId="2" borderId="22" xfId="0" applyFont="1" applyFill="1" applyBorder="1" applyAlignment="1" applyProtection="1">
      <alignment horizontal="center" vertical="center"/>
      <protection hidden="1"/>
    </xf>
    <xf numFmtId="0" fontId="2" fillId="2" borderId="24" xfId="0" applyFont="1" applyFill="1" applyBorder="1" applyAlignment="1" applyProtection="1">
      <alignment horizontal="center" vertical="center"/>
      <protection hidden="1"/>
    </xf>
    <xf numFmtId="0" fontId="2" fillId="2" borderId="25" xfId="0" applyFont="1" applyFill="1" applyBorder="1" applyAlignment="1" applyProtection="1">
      <alignment horizontal="center" vertical="center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165" fontId="2" fillId="2" borderId="27" xfId="0" applyNumberFormat="1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165" fontId="2" fillId="2" borderId="23" xfId="0" applyNumberFormat="1" applyFont="1" applyFill="1" applyBorder="1" applyAlignment="1" applyProtection="1">
      <alignment horizontal="center" vertical="center"/>
      <protection hidden="1"/>
    </xf>
    <xf numFmtId="165" fontId="2" fillId="2" borderId="25" xfId="0" applyNumberFormat="1" applyFont="1" applyFill="1" applyBorder="1" applyAlignment="1" applyProtection="1">
      <alignment horizontal="center" vertical="center"/>
      <protection hidden="1"/>
    </xf>
    <xf numFmtId="169" fontId="4" fillId="2" borderId="0" xfId="1" applyNumberFormat="1" applyFont="1" applyFill="1" applyBorder="1" applyAlignment="1" applyProtection="1">
      <alignment vertical="center"/>
      <protection hidden="1"/>
    </xf>
    <xf numFmtId="169" fontId="11" fillId="2" borderId="0" xfId="1" applyNumberFormat="1" applyFont="1" applyFill="1" applyBorder="1" applyAlignment="1" applyProtection="1">
      <alignment vertical="center"/>
      <protection hidden="1"/>
    </xf>
    <xf numFmtId="164" fontId="2" fillId="2" borderId="0" xfId="0" applyNumberFormat="1" applyFont="1" applyFill="1" applyProtection="1">
      <protection hidden="1"/>
    </xf>
    <xf numFmtId="0" fontId="9" fillId="2" borderId="0" xfId="6" applyFont="1" applyFill="1" applyAlignment="1" applyProtection="1">
      <alignment horizontal="center" vertical="center"/>
      <protection hidden="1"/>
    </xf>
    <xf numFmtId="1" fontId="27" fillId="37" borderId="0" xfId="0" applyNumberFormat="1" applyFont="1" applyFill="1" applyBorder="1" applyAlignment="1" applyProtection="1">
      <alignment horizontal="center" vertical="center"/>
      <protection hidden="1"/>
    </xf>
    <xf numFmtId="0" fontId="2" fillId="14" borderId="5" xfId="0" applyFont="1" applyFill="1" applyBorder="1" applyAlignment="1" applyProtection="1">
      <alignment horizontal="center"/>
      <protection hidden="1"/>
    </xf>
    <xf numFmtId="0" fontId="2" fillId="14" borderId="6" xfId="0" applyFont="1" applyFill="1" applyBorder="1" applyAlignment="1" applyProtection="1">
      <alignment horizontal="center"/>
      <protection hidden="1"/>
    </xf>
    <xf numFmtId="0" fontId="2" fillId="14" borderId="7" xfId="0" applyFont="1" applyFill="1" applyBorder="1" applyAlignment="1" applyProtection="1">
      <alignment horizontal="center"/>
      <protection hidden="1"/>
    </xf>
    <xf numFmtId="0" fontId="2" fillId="14" borderId="12" xfId="0" applyFont="1" applyFill="1" applyBorder="1" applyAlignment="1" applyProtection="1">
      <alignment horizontal="center"/>
      <protection hidden="1"/>
    </xf>
    <xf numFmtId="0" fontId="2" fillId="14" borderId="0" xfId="0" applyFont="1" applyFill="1" applyBorder="1" applyAlignment="1" applyProtection="1">
      <alignment horizontal="center"/>
      <protection hidden="1"/>
    </xf>
    <xf numFmtId="0" fontId="2" fillId="14" borderId="13" xfId="0" applyFont="1" applyFill="1" applyBorder="1" applyAlignment="1" applyProtection="1">
      <alignment horizontal="center"/>
      <protection hidden="1"/>
    </xf>
    <xf numFmtId="0" fontId="2" fillId="14" borderId="14" xfId="0" applyFont="1" applyFill="1" applyBorder="1" applyAlignment="1" applyProtection="1">
      <alignment horizontal="center"/>
      <protection hidden="1"/>
    </xf>
    <xf numFmtId="0" fontId="2" fillId="14" borderId="15" xfId="0" applyFont="1" applyFill="1" applyBorder="1" applyAlignment="1" applyProtection="1">
      <alignment horizontal="center"/>
      <protection hidden="1"/>
    </xf>
    <xf numFmtId="0" fontId="2" fillId="14" borderId="9" xfId="0" applyFont="1" applyFill="1" applyBorder="1" applyAlignment="1" applyProtection="1">
      <alignment horizontal="center"/>
      <protection hidden="1"/>
    </xf>
    <xf numFmtId="0" fontId="2" fillId="5" borderId="5" xfId="0" applyFont="1" applyFill="1" applyBorder="1" applyAlignment="1" applyProtection="1">
      <alignment horizontal="center"/>
      <protection hidden="1"/>
    </xf>
    <xf numFmtId="0" fontId="2" fillId="5" borderId="6" xfId="0" applyFont="1" applyFill="1" applyBorder="1" applyAlignment="1" applyProtection="1">
      <alignment horizontal="center"/>
      <protection hidden="1"/>
    </xf>
    <xf numFmtId="0" fontId="2" fillId="5" borderId="7" xfId="0" applyFont="1" applyFill="1" applyBorder="1" applyAlignment="1" applyProtection="1">
      <alignment horizontal="center"/>
      <protection hidden="1"/>
    </xf>
    <xf numFmtId="0" fontId="2" fillId="5" borderId="12" xfId="0" applyFont="1" applyFill="1" applyBorder="1" applyAlignment="1" applyProtection="1">
      <alignment horizontal="center"/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0" fontId="2" fillId="5" borderId="13" xfId="0" applyFont="1" applyFill="1" applyBorder="1" applyAlignment="1" applyProtection="1">
      <alignment horizontal="center"/>
      <protection hidden="1"/>
    </xf>
    <xf numFmtId="0" fontId="2" fillId="5" borderId="14" xfId="0" applyFont="1" applyFill="1" applyBorder="1" applyAlignment="1" applyProtection="1">
      <alignment horizontal="center"/>
      <protection hidden="1"/>
    </xf>
    <xf numFmtId="0" fontId="2" fillId="5" borderId="15" xfId="0" applyFont="1" applyFill="1" applyBorder="1" applyAlignment="1" applyProtection="1">
      <alignment horizontal="center"/>
      <protection hidden="1"/>
    </xf>
    <xf numFmtId="0" fontId="2" fillId="5" borderId="9" xfId="0" applyFont="1" applyFill="1" applyBorder="1" applyAlignment="1" applyProtection="1">
      <alignment horizontal="center"/>
      <protection hidden="1"/>
    </xf>
    <xf numFmtId="0" fontId="2" fillId="6" borderId="5" xfId="0" applyFont="1" applyFill="1" applyBorder="1" applyAlignment="1" applyProtection="1">
      <alignment horizontal="center"/>
      <protection hidden="1"/>
    </xf>
    <xf numFmtId="0" fontId="2" fillId="6" borderId="6" xfId="0" applyFont="1" applyFill="1" applyBorder="1" applyAlignment="1" applyProtection="1">
      <alignment horizontal="center"/>
      <protection hidden="1"/>
    </xf>
    <xf numFmtId="0" fontId="2" fillId="6" borderId="7" xfId="0" applyFont="1" applyFill="1" applyBorder="1" applyAlignment="1" applyProtection="1">
      <alignment horizontal="center"/>
      <protection hidden="1"/>
    </xf>
    <xf numFmtId="0" fontId="2" fillId="6" borderId="12" xfId="0" applyFont="1" applyFill="1" applyBorder="1" applyAlignment="1" applyProtection="1">
      <alignment horizontal="center"/>
      <protection hidden="1"/>
    </xf>
    <xf numFmtId="0" fontId="2" fillId="6" borderId="0" xfId="0" applyFont="1" applyFill="1" applyBorder="1" applyAlignment="1" applyProtection="1">
      <alignment horizontal="center"/>
      <protection hidden="1"/>
    </xf>
    <xf numFmtId="0" fontId="2" fillId="6" borderId="13" xfId="0" applyFont="1" applyFill="1" applyBorder="1" applyAlignment="1" applyProtection="1">
      <alignment horizontal="center"/>
      <protection hidden="1"/>
    </xf>
    <xf numFmtId="0" fontId="2" fillId="6" borderId="14" xfId="0" applyFont="1" applyFill="1" applyBorder="1" applyAlignment="1" applyProtection="1">
      <alignment horizontal="center"/>
      <protection hidden="1"/>
    </xf>
    <xf numFmtId="0" fontId="2" fillId="6" borderId="15" xfId="0" applyFont="1" applyFill="1" applyBorder="1" applyAlignment="1" applyProtection="1">
      <alignment horizontal="center"/>
      <protection hidden="1"/>
    </xf>
    <xf numFmtId="0" fontId="2" fillId="6" borderId="9" xfId="0" applyFont="1" applyFill="1" applyBorder="1" applyAlignment="1" applyProtection="1">
      <alignment horizontal="center"/>
      <protection hidden="1"/>
    </xf>
    <xf numFmtId="0" fontId="2" fillId="7" borderId="5" xfId="0" applyFont="1" applyFill="1" applyBorder="1" applyAlignment="1" applyProtection="1">
      <alignment horizontal="center"/>
      <protection hidden="1"/>
    </xf>
    <xf numFmtId="0" fontId="2" fillId="7" borderId="6" xfId="0" applyFont="1" applyFill="1" applyBorder="1" applyAlignment="1" applyProtection="1">
      <alignment horizontal="center"/>
      <protection hidden="1"/>
    </xf>
    <xf numFmtId="0" fontId="2" fillId="7" borderId="7" xfId="0" applyFont="1" applyFill="1" applyBorder="1" applyAlignment="1" applyProtection="1">
      <alignment horizontal="center"/>
      <protection hidden="1"/>
    </xf>
    <xf numFmtId="0" fontId="2" fillId="7" borderId="12" xfId="0" applyFont="1" applyFill="1" applyBorder="1" applyAlignment="1" applyProtection="1">
      <alignment horizontal="center"/>
      <protection hidden="1"/>
    </xf>
    <xf numFmtId="0" fontId="2" fillId="7" borderId="0" xfId="0" applyFont="1" applyFill="1" applyBorder="1" applyAlignment="1" applyProtection="1">
      <alignment horizontal="center"/>
      <protection hidden="1"/>
    </xf>
    <xf numFmtId="0" fontId="2" fillId="7" borderId="13" xfId="0" applyFont="1" applyFill="1" applyBorder="1" applyAlignment="1" applyProtection="1">
      <alignment horizontal="center"/>
      <protection hidden="1"/>
    </xf>
    <xf numFmtId="0" fontId="2" fillId="7" borderId="14" xfId="0" applyFont="1" applyFill="1" applyBorder="1" applyAlignment="1" applyProtection="1">
      <alignment horizontal="center"/>
      <protection hidden="1"/>
    </xf>
    <xf numFmtId="0" fontId="2" fillId="7" borderId="15" xfId="0" applyFont="1" applyFill="1" applyBorder="1" applyAlignment="1" applyProtection="1">
      <alignment horizontal="center"/>
      <protection hidden="1"/>
    </xf>
    <xf numFmtId="0" fontId="2" fillId="7" borderId="9" xfId="0" applyFont="1" applyFill="1" applyBorder="1" applyAlignment="1" applyProtection="1">
      <alignment horizontal="center"/>
      <protection hidden="1"/>
    </xf>
    <xf numFmtId="0" fontId="2" fillId="8" borderId="5" xfId="0" applyFont="1" applyFill="1" applyBorder="1" applyAlignment="1" applyProtection="1">
      <alignment horizontal="center"/>
      <protection hidden="1"/>
    </xf>
    <xf numFmtId="0" fontId="2" fillId="8" borderId="6" xfId="0" applyFont="1" applyFill="1" applyBorder="1" applyAlignment="1" applyProtection="1">
      <alignment horizontal="center"/>
      <protection hidden="1"/>
    </xf>
    <xf numFmtId="0" fontId="2" fillId="8" borderId="7" xfId="0" applyFont="1" applyFill="1" applyBorder="1" applyAlignment="1" applyProtection="1">
      <alignment horizontal="center"/>
      <protection hidden="1"/>
    </xf>
    <xf numFmtId="0" fontId="2" fillId="8" borderId="12" xfId="0" applyFont="1" applyFill="1" applyBorder="1" applyAlignment="1" applyProtection="1">
      <alignment horizontal="center"/>
      <protection hidden="1"/>
    </xf>
    <xf numFmtId="0" fontId="2" fillId="8" borderId="0" xfId="0" applyFont="1" applyFill="1" applyBorder="1" applyAlignment="1" applyProtection="1">
      <alignment horizontal="center"/>
      <protection hidden="1"/>
    </xf>
    <xf numFmtId="0" fontId="2" fillId="8" borderId="13" xfId="0" applyFont="1" applyFill="1" applyBorder="1" applyAlignment="1" applyProtection="1">
      <alignment horizontal="center"/>
      <protection hidden="1"/>
    </xf>
    <xf numFmtId="0" fontId="2" fillId="8" borderId="14" xfId="0" applyFont="1" applyFill="1" applyBorder="1" applyAlignment="1" applyProtection="1">
      <alignment horizontal="center"/>
      <protection hidden="1"/>
    </xf>
    <xf numFmtId="0" fontId="2" fillId="8" borderId="15" xfId="0" applyFont="1" applyFill="1" applyBorder="1" applyAlignment="1" applyProtection="1">
      <alignment horizontal="center"/>
      <protection hidden="1"/>
    </xf>
    <xf numFmtId="0" fontId="2" fillId="8" borderId="9" xfId="0" applyFont="1" applyFill="1" applyBorder="1" applyAlignment="1" applyProtection="1">
      <alignment horizontal="center"/>
      <protection hidden="1"/>
    </xf>
    <xf numFmtId="0" fontId="2" fillId="9" borderId="5" xfId="0" applyFont="1" applyFill="1" applyBorder="1" applyAlignment="1" applyProtection="1">
      <alignment horizontal="center"/>
      <protection hidden="1"/>
    </xf>
    <xf numFmtId="0" fontId="2" fillId="9" borderId="6" xfId="0" applyFont="1" applyFill="1" applyBorder="1" applyAlignment="1" applyProtection="1">
      <alignment horizontal="center"/>
      <protection hidden="1"/>
    </xf>
    <xf numFmtId="0" fontId="2" fillId="9" borderId="7" xfId="0" applyFont="1" applyFill="1" applyBorder="1" applyAlignment="1" applyProtection="1">
      <alignment horizontal="center"/>
      <protection hidden="1"/>
    </xf>
    <xf numFmtId="0" fontId="2" fillId="9" borderId="12" xfId="0" applyFont="1" applyFill="1" applyBorder="1" applyAlignment="1" applyProtection="1">
      <alignment horizontal="center"/>
      <protection hidden="1"/>
    </xf>
    <xf numFmtId="0" fontId="2" fillId="9" borderId="0" xfId="0" applyFont="1" applyFill="1" applyBorder="1" applyAlignment="1" applyProtection="1">
      <alignment horizontal="center"/>
      <protection hidden="1"/>
    </xf>
    <xf numFmtId="0" fontId="2" fillId="9" borderId="13" xfId="0" applyFont="1" applyFill="1" applyBorder="1" applyAlignment="1" applyProtection="1">
      <alignment horizontal="center"/>
      <protection hidden="1"/>
    </xf>
    <xf numFmtId="0" fontId="2" fillId="9" borderId="14" xfId="0" applyFont="1" applyFill="1" applyBorder="1" applyAlignment="1" applyProtection="1">
      <alignment horizontal="center"/>
      <protection hidden="1"/>
    </xf>
    <xf numFmtId="0" fontId="2" fillId="9" borderId="15" xfId="0" applyFont="1" applyFill="1" applyBorder="1" applyAlignment="1" applyProtection="1">
      <alignment horizontal="center"/>
      <protection hidden="1"/>
    </xf>
    <xf numFmtId="0" fontId="2" fillId="9" borderId="9" xfId="0" applyFont="1" applyFill="1" applyBorder="1" applyAlignment="1" applyProtection="1">
      <alignment horizontal="center"/>
      <protection hidden="1"/>
    </xf>
    <xf numFmtId="0" fontId="13" fillId="9" borderId="14" xfId="2" applyFont="1" applyFill="1" applyBorder="1" applyAlignment="1" applyProtection="1">
      <alignment horizontal="center" vertical="center" wrapText="1"/>
      <protection hidden="1"/>
    </xf>
    <xf numFmtId="0" fontId="13" fillId="9" borderId="15" xfId="2" applyFont="1" applyFill="1" applyBorder="1" applyAlignment="1" applyProtection="1">
      <alignment horizontal="center" vertical="center" wrapText="1"/>
      <protection hidden="1"/>
    </xf>
    <xf numFmtId="0" fontId="13" fillId="9" borderId="9" xfId="2" applyFont="1" applyFill="1" applyBorder="1" applyAlignment="1" applyProtection="1">
      <alignment horizontal="center" vertical="center" wrapText="1"/>
      <protection hidden="1"/>
    </xf>
    <xf numFmtId="0" fontId="2" fillId="15" borderId="5" xfId="0" applyFont="1" applyFill="1" applyBorder="1" applyAlignment="1" applyProtection="1">
      <alignment horizontal="center" vertical="center" wrapText="1"/>
      <protection hidden="1"/>
    </xf>
    <xf numFmtId="0" fontId="2" fillId="15" borderId="6" xfId="0" applyFont="1" applyFill="1" applyBorder="1" applyAlignment="1" applyProtection="1">
      <alignment horizontal="center" vertical="center" wrapText="1"/>
      <protection hidden="1"/>
    </xf>
    <xf numFmtId="0" fontId="2" fillId="15" borderId="7" xfId="0" applyFont="1" applyFill="1" applyBorder="1" applyAlignment="1" applyProtection="1">
      <alignment horizontal="center" vertical="center" wrapText="1"/>
      <protection hidden="1"/>
    </xf>
    <xf numFmtId="0" fontId="2" fillId="15" borderId="12" xfId="0" applyFont="1" applyFill="1" applyBorder="1" applyAlignment="1" applyProtection="1">
      <alignment horizontal="center" vertical="center" wrapText="1"/>
      <protection hidden="1"/>
    </xf>
    <xf numFmtId="0" fontId="2" fillId="15" borderId="0" xfId="0" applyFont="1" applyFill="1" applyBorder="1" applyAlignment="1" applyProtection="1">
      <alignment horizontal="center" vertical="center" wrapText="1"/>
      <protection hidden="1"/>
    </xf>
    <xf numFmtId="0" fontId="2" fillId="15" borderId="13" xfId="0" applyFont="1" applyFill="1" applyBorder="1" applyAlignment="1" applyProtection="1">
      <alignment horizontal="center" vertical="center" wrapText="1"/>
      <protection hidden="1"/>
    </xf>
    <xf numFmtId="0" fontId="13" fillId="15" borderId="14" xfId="2" applyFont="1" applyFill="1" applyBorder="1" applyAlignment="1" applyProtection="1">
      <alignment horizontal="center" vertical="center" wrapText="1"/>
      <protection hidden="1"/>
    </xf>
    <xf numFmtId="0" fontId="13" fillId="15" borderId="15" xfId="2" applyFont="1" applyFill="1" applyBorder="1" applyAlignment="1" applyProtection="1">
      <alignment horizontal="center" vertical="center" wrapText="1"/>
      <protection hidden="1"/>
    </xf>
    <xf numFmtId="0" fontId="13" fillId="15" borderId="9" xfId="2" applyFont="1" applyFill="1" applyBorder="1" applyAlignment="1" applyProtection="1">
      <alignment horizontal="center" vertical="center" wrapText="1"/>
      <protection hidden="1"/>
    </xf>
    <xf numFmtId="0" fontId="2" fillId="18" borderId="5" xfId="0" applyFont="1" applyFill="1" applyBorder="1" applyAlignment="1" applyProtection="1">
      <alignment horizontal="center" vertical="center" wrapText="1"/>
      <protection hidden="1"/>
    </xf>
    <xf numFmtId="0" fontId="2" fillId="18" borderId="6" xfId="0" applyFont="1" applyFill="1" applyBorder="1" applyAlignment="1" applyProtection="1">
      <alignment horizontal="center" vertical="center" wrapText="1"/>
      <protection hidden="1"/>
    </xf>
    <xf numFmtId="0" fontId="2" fillId="18" borderId="7" xfId="0" applyFont="1" applyFill="1" applyBorder="1" applyAlignment="1" applyProtection="1">
      <alignment horizontal="center" vertical="center" wrapText="1"/>
      <protection hidden="1"/>
    </xf>
    <xf numFmtId="0" fontId="2" fillId="18" borderId="12" xfId="0" applyFont="1" applyFill="1" applyBorder="1" applyAlignment="1" applyProtection="1">
      <alignment horizontal="center" vertical="center" wrapText="1"/>
      <protection hidden="1"/>
    </xf>
    <xf numFmtId="0" fontId="2" fillId="18" borderId="0" xfId="0" applyFont="1" applyFill="1" applyBorder="1" applyAlignment="1" applyProtection="1">
      <alignment horizontal="center" vertical="center" wrapText="1"/>
      <protection hidden="1"/>
    </xf>
    <xf numFmtId="0" fontId="2" fillId="18" borderId="13" xfId="0" applyFont="1" applyFill="1" applyBorder="1" applyAlignment="1" applyProtection="1">
      <alignment horizontal="center" vertical="center" wrapText="1"/>
      <protection hidden="1"/>
    </xf>
    <xf numFmtId="0" fontId="2" fillId="9" borderId="5" xfId="0" applyFont="1" applyFill="1" applyBorder="1" applyAlignment="1" applyProtection="1">
      <alignment horizontal="center" vertical="center" wrapText="1"/>
      <protection hidden="1"/>
    </xf>
    <xf numFmtId="0" fontId="2" fillId="9" borderId="6" xfId="0" applyFont="1" applyFill="1" applyBorder="1" applyAlignment="1" applyProtection="1">
      <alignment horizontal="center" vertical="center" wrapText="1"/>
      <protection hidden="1"/>
    </xf>
    <xf numFmtId="0" fontId="2" fillId="9" borderId="7" xfId="0" applyFont="1" applyFill="1" applyBorder="1" applyAlignment="1" applyProtection="1">
      <alignment horizontal="center" vertical="center" wrapText="1"/>
      <protection hidden="1"/>
    </xf>
    <xf numFmtId="0" fontId="2" fillId="9" borderId="12" xfId="0" applyFont="1" applyFill="1" applyBorder="1" applyAlignment="1" applyProtection="1">
      <alignment horizontal="center" vertical="center" wrapText="1"/>
      <protection hidden="1"/>
    </xf>
    <xf numFmtId="0" fontId="2" fillId="9" borderId="0" xfId="0" applyFont="1" applyFill="1" applyBorder="1" applyAlignment="1" applyProtection="1">
      <alignment horizontal="center" vertical="center" wrapText="1"/>
      <protection hidden="1"/>
    </xf>
    <xf numFmtId="0" fontId="2" fillId="9" borderId="13" xfId="0" applyFont="1" applyFill="1" applyBorder="1" applyAlignment="1" applyProtection="1">
      <alignment horizontal="center" vertical="center" wrapText="1"/>
      <protection hidden="1"/>
    </xf>
    <xf numFmtId="0" fontId="2" fillId="8" borderId="5" xfId="0" applyFont="1" applyFill="1" applyBorder="1" applyAlignment="1" applyProtection="1">
      <alignment horizontal="center" vertical="center" wrapText="1"/>
      <protection hidden="1"/>
    </xf>
    <xf numFmtId="0" fontId="2" fillId="8" borderId="6" xfId="0" applyFont="1" applyFill="1" applyBorder="1" applyAlignment="1" applyProtection="1">
      <alignment horizontal="center" vertical="center" wrapText="1"/>
      <protection hidden="1"/>
    </xf>
    <xf numFmtId="0" fontId="2" fillId="8" borderId="7" xfId="0" applyFont="1" applyFill="1" applyBorder="1" applyAlignment="1" applyProtection="1">
      <alignment horizontal="center" vertical="center" wrapText="1"/>
      <protection hidden="1"/>
    </xf>
    <xf numFmtId="0" fontId="2" fillId="8" borderId="12" xfId="0" applyFont="1" applyFill="1" applyBorder="1" applyAlignment="1" applyProtection="1">
      <alignment horizontal="center" vertical="center" wrapText="1"/>
      <protection hidden="1"/>
    </xf>
    <xf numFmtId="0" fontId="2" fillId="8" borderId="0" xfId="0" applyFont="1" applyFill="1" applyBorder="1" applyAlignment="1" applyProtection="1">
      <alignment horizontal="center" vertical="center" wrapText="1"/>
      <protection hidden="1"/>
    </xf>
    <xf numFmtId="0" fontId="2" fillId="8" borderId="13" xfId="0" applyFont="1" applyFill="1" applyBorder="1" applyAlignment="1" applyProtection="1">
      <alignment horizontal="center" vertical="center" wrapText="1"/>
      <protection hidden="1"/>
    </xf>
    <xf numFmtId="0" fontId="15" fillId="23" borderId="10" xfId="0" applyFont="1" applyFill="1" applyBorder="1" applyAlignment="1" applyProtection="1">
      <alignment horizontal="right" vertical="center"/>
      <protection hidden="1"/>
    </xf>
    <xf numFmtId="0" fontId="15" fillId="23" borderId="11" xfId="0" applyFont="1" applyFill="1" applyBorder="1" applyAlignment="1" applyProtection="1">
      <alignment horizontal="right" vertical="center"/>
      <protection hidden="1"/>
    </xf>
    <xf numFmtId="0" fontId="2" fillId="22" borderId="10" xfId="0" applyFont="1" applyFill="1" applyBorder="1" applyAlignment="1" applyProtection="1">
      <alignment horizontal="right" vertical="center" wrapText="1"/>
      <protection hidden="1"/>
    </xf>
    <xf numFmtId="0" fontId="2" fillId="22" borderId="11" xfId="0" applyFont="1" applyFill="1" applyBorder="1" applyAlignment="1" applyProtection="1">
      <alignment horizontal="right" vertical="center" wrapText="1"/>
      <protection hidden="1"/>
    </xf>
    <xf numFmtId="0" fontId="5" fillId="2" borderId="15" xfId="0" applyFont="1" applyFill="1" applyBorder="1" applyAlignment="1" applyProtection="1">
      <alignment horizontal="center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7" xfId="0" applyFont="1" applyFill="1" applyBorder="1" applyAlignment="1" applyProtection="1">
      <alignment horizontal="center" vertical="center" wrapText="1"/>
      <protection hidden="1"/>
    </xf>
    <xf numFmtId="0" fontId="2" fillId="6" borderId="12" xfId="0" applyFont="1" applyFill="1" applyBorder="1" applyAlignment="1" applyProtection="1">
      <alignment horizontal="center" vertical="center" wrapText="1"/>
      <protection hidden="1"/>
    </xf>
    <xf numFmtId="0" fontId="2" fillId="6" borderId="0" xfId="0" applyFont="1" applyFill="1" applyBorder="1" applyAlignment="1" applyProtection="1">
      <alignment horizontal="center" vertical="center" wrapText="1"/>
      <protection hidden="1"/>
    </xf>
    <xf numFmtId="0" fontId="2" fillId="6" borderId="13" xfId="0" applyFont="1" applyFill="1" applyBorder="1" applyAlignment="1" applyProtection="1">
      <alignment horizontal="center" vertical="center" wrapText="1"/>
      <protection hidden="1"/>
    </xf>
    <xf numFmtId="0" fontId="13" fillId="6" borderId="14" xfId="2" applyFont="1" applyFill="1" applyBorder="1" applyAlignment="1" applyProtection="1">
      <alignment horizontal="center" vertical="center" wrapText="1"/>
      <protection hidden="1"/>
    </xf>
    <xf numFmtId="0" fontId="13" fillId="6" borderId="15" xfId="2" applyFont="1" applyFill="1" applyBorder="1" applyAlignment="1" applyProtection="1">
      <alignment horizontal="center" vertical="center" wrapText="1"/>
      <protection hidden="1"/>
    </xf>
    <xf numFmtId="0" fontId="13" fillId="6" borderId="9" xfId="2" applyFont="1" applyFill="1" applyBorder="1" applyAlignment="1" applyProtection="1">
      <alignment horizontal="center" vertical="center" wrapText="1"/>
      <protection hidden="1"/>
    </xf>
    <xf numFmtId="0" fontId="2" fillId="7" borderId="5" xfId="0" applyFont="1" applyFill="1" applyBorder="1" applyAlignment="1" applyProtection="1">
      <alignment horizontal="center" vertical="center" wrapText="1"/>
      <protection hidden="1"/>
    </xf>
    <xf numFmtId="0" fontId="2" fillId="7" borderId="6" xfId="0" applyFont="1" applyFill="1" applyBorder="1" applyAlignment="1" applyProtection="1">
      <alignment horizontal="center" vertical="center" wrapText="1"/>
      <protection hidden="1"/>
    </xf>
    <xf numFmtId="0" fontId="2" fillId="7" borderId="7" xfId="0" applyFont="1" applyFill="1" applyBorder="1" applyAlignment="1" applyProtection="1">
      <alignment horizontal="center" vertical="center" wrapText="1"/>
      <protection hidden="1"/>
    </xf>
    <xf numFmtId="0" fontId="2" fillId="7" borderId="12" xfId="0" applyFont="1" applyFill="1" applyBorder="1" applyAlignment="1" applyProtection="1">
      <alignment horizontal="center" vertical="center" wrapText="1"/>
      <protection hidden="1"/>
    </xf>
    <xf numFmtId="0" fontId="2" fillId="7" borderId="0" xfId="0" applyFont="1" applyFill="1" applyBorder="1" applyAlignment="1" applyProtection="1">
      <alignment horizontal="center" vertical="center" wrapText="1"/>
      <protection hidden="1"/>
    </xf>
    <xf numFmtId="0" fontId="2" fillId="7" borderId="13" xfId="0" applyFont="1" applyFill="1" applyBorder="1" applyAlignment="1" applyProtection="1">
      <alignment horizontal="center" vertical="center" wrapText="1"/>
      <protection hidden="1"/>
    </xf>
    <xf numFmtId="0" fontId="13" fillId="7" borderId="14" xfId="2" applyFont="1" applyFill="1" applyBorder="1" applyAlignment="1" applyProtection="1">
      <alignment horizontal="center" vertical="center" wrapText="1"/>
      <protection hidden="1"/>
    </xf>
    <xf numFmtId="0" fontId="13" fillId="7" borderId="15" xfId="2" applyFont="1" applyFill="1" applyBorder="1" applyAlignment="1" applyProtection="1">
      <alignment horizontal="center" vertical="center" wrapText="1"/>
      <protection hidden="1"/>
    </xf>
    <xf numFmtId="0" fontId="13" fillId="7" borderId="9" xfId="2" applyFont="1" applyFill="1" applyBorder="1" applyAlignment="1" applyProtection="1">
      <alignment horizontal="center" vertical="center" wrapText="1"/>
      <protection hidden="1"/>
    </xf>
    <xf numFmtId="0" fontId="13" fillId="8" borderId="14" xfId="2" applyFont="1" applyFill="1" applyBorder="1" applyAlignment="1" applyProtection="1">
      <alignment horizontal="center" vertical="center" wrapText="1"/>
      <protection hidden="1"/>
    </xf>
    <xf numFmtId="0" fontId="13" fillId="8" borderId="15" xfId="2" applyFont="1" applyFill="1" applyBorder="1" applyAlignment="1" applyProtection="1">
      <alignment horizontal="center" vertical="center" wrapText="1"/>
      <protection hidden="1"/>
    </xf>
    <xf numFmtId="0" fontId="13" fillId="8" borderId="9" xfId="2" applyFont="1" applyFill="1" applyBorder="1" applyAlignment="1" applyProtection="1">
      <alignment horizontal="center" vertical="center" wrapText="1"/>
      <protection hidden="1"/>
    </xf>
    <xf numFmtId="166" fontId="17" fillId="2" borderId="3" xfId="1" applyNumberFormat="1" applyFont="1" applyFill="1" applyBorder="1" applyAlignment="1" applyProtection="1">
      <alignment horizontal="center" vertical="center"/>
      <protection hidden="1"/>
    </xf>
    <xf numFmtId="166" fontId="17" fillId="2" borderId="2" xfId="1" applyNumberFormat="1" applyFont="1" applyFill="1" applyBorder="1" applyAlignment="1" applyProtection="1">
      <alignment horizontal="center" vertical="center"/>
      <protection hidden="1"/>
    </xf>
    <xf numFmtId="166" fontId="17" fillId="2" borderId="4" xfId="1" applyNumberFormat="1" applyFont="1" applyFill="1" applyBorder="1" applyAlignment="1" applyProtection="1">
      <alignment horizontal="center" vertical="center"/>
      <protection hidden="1"/>
    </xf>
    <xf numFmtId="165" fontId="5" fillId="4" borderId="3" xfId="1" applyNumberFormat="1" applyFont="1" applyFill="1" applyBorder="1" applyAlignment="1" applyProtection="1">
      <alignment horizontal="center" vertical="center"/>
      <protection hidden="1"/>
    </xf>
    <xf numFmtId="165" fontId="5" fillId="4" borderId="2" xfId="1" applyNumberFormat="1" applyFont="1" applyFill="1" applyBorder="1" applyAlignment="1" applyProtection="1">
      <alignment horizontal="center" vertical="center"/>
      <protection hidden="1"/>
    </xf>
    <xf numFmtId="165" fontId="5" fillId="4" borderId="4" xfId="1" applyNumberFormat="1" applyFont="1" applyFill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 wrapText="1"/>
      <protection hidden="1"/>
    </xf>
    <xf numFmtId="0" fontId="2" fillId="5" borderId="6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12" xfId="0" applyFont="1" applyFill="1" applyBorder="1" applyAlignment="1" applyProtection="1">
      <alignment horizontal="center" vertical="center" wrapText="1"/>
      <protection hidden="1"/>
    </xf>
    <xf numFmtId="0" fontId="2" fillId="5" borderId="0" xfId="0" applyFont="1" applyFill="1" applyBorder="1" applyAlignment="1" applyProtection="1">
      <alignment horizontal="center" vertical="center" wrapText="1"/>
      <protection hidden="1"/>
    </xf>
    <xf numFmtId="0" fontId="2" fillId="5" borderId="13" xfId="0" applyFont="1" applyFill="1" applyBorder="1" applyAlignment="1" applyProtection="1">
      <alignment horizontal="center" vertical="center" wrapText="1"/>
      <protection hidden="1"/>
    </xf>
    <xf numFmtId="164" fontId="5" fillId="20" borderId="3" xfId="1" applyNumberFormat="1" applyFont="1" applyFill="1" applyBorder="1" applyAlignment="1" applyProtection="1">
      <alignment horizontal="center" vertical="center" wrapText="1"/>
      <protection hidden="1"/>
    </xf>
    <xf numFmtId="164" fontId="5" fillId="20" borderId="2" xfId="1" applyNumberFormat="1" applyFont="1" applyFill="1" applyBorder="1" applyAlignment="1" applyProtection="1">
      <alignment horizontal="center" vertical="center" wrapText="1"/>
      <protection hidden="1"/>
    </xf>
    <xf numFmtId="164" fontId="5" fillId="20" borderId="4" xfId="1" applyNumberFormat="1" applyFont="1" applyFill="1" applyBorder="1" applyAlignment="1" applyProtection="1">
      <alignment horizontal="center" vertical="center" wrapText="1"/>
      <protection hidden="1"/>
    </xf>
    <xf numFmtId="167" fontId="25" fillId="10" borderId="14" xfId="1" applyNumberFormat="1" applyFont="1" applyFill="1" applyBorder="1" applyAlignment="1" applyProtection="1">
      <alignment horizontal="center" vertical="center"/>
      <protection hidden="1"/>
    </xf>
    <xf numFmtId="167" fontId="25" fillId="10" borderId="15" xfId="1" applyNumberFormat="1" applyFont="1" applyFill="1" applyBorder="1" applyAlignment="1" applyProtection="1">
      <alignment horizontal="center" vertical="center"/>
      <protection hidden="1"/>
    </xf>
    <xf numFmtId="167" fontId="25" fillId="10" borderId="9" xfId="1" applyNumberFormat="1" applyFont="1" applyFill="1" applyBorder="1" applyAlignment="1" applyProtection="1">
      <alignment horizontal="center" vertical="center"/>
      <protection hidden="1"/>
    </xf>
    <xf numFmtId="166" fontId="17" fillId="2" borderId="3" xfId="0" applyNumberFormat="1" applyFont="1" applyFill="1" applyBorder="1" applyAlignment="1" applyProtection="1">
      <alignment horizontal="center" vertical="center"/>
      <protection hidden="1"/>
    </xf>
    <xf numFmtId="166" fontId="17" fillId="2" borderId="2" xfId="0" applyNumberFormat="1" applyFont="1" applyFill="1" applyBorder="1" applyAlignment="1" applyProtection="1">
      <alignment horizontal="center" vertical="center"/>
      <protection hidden="1"/>
    </xf>
    <xf numFmtId="166" fontId="17" fillId="2" borderId="4" xfId="0" applyNumberFormat="1" applyFont="1" applyFill="1" applyBorder="1" applyAlignment="1" applyProtection="1">
      <alignment horizontal="center" vertical="center"/>
      <protection hidden="1"/>
    </xf>
    <xf numFmtId="165" fontId="5" fillId="19" borderId="3" xfId="1" applyNumberFormat="1" applyFont="1" applyFill="1" applyBorder="1" applyAlignment="1" applyProtection="1">
      <alignment horizontal="center" vertical="center"/>
      <protection hidden="1"/>
    </xf>
    <xf numFmtId="165" fontId="5" fillId="19" borderId="2" xfId="1" applyNumberFormat="1" applyFont="1" applyFill="1" applyBorder="1" applyAlignment="1" applyProtection="1">
      <alignment horizontal="center" vertical="center"/>
      <protection hidden="1"/>
    </xf>
    <xf numFmtId="165" fontId="5" fillId="19" borderId="4" xfId="1" applyNumberFormat="1" applyFont="1" applyFill="1" applyBorder="1" applyAlignment="1" applyProtection="1">
      <alignment horizontal="center" vertical="center"/>
      <protection hidden="1"/>
    </xf>
    <xf numFmtId="0" fontId="13" fillId="18" borderId="14" xfId="2" applyFont="1" applyFill="1" applyBorder="1" applyAlignment="1" applyProtection="1">
      <alignment horizontal="center" vertical="center" wrapText="1"/>
      <protection hidden="1"/>
    </xf>
    <xf numFmtId="0" fontId="13" fillId="18" borderId="15" xfId="2" applyFont="1" applyFill="1" applyBorder="1" applyAlignment="1" applyProtection="1">
      <alignment horizontal="center" vertical="center" wrapText="1"/>
      <protection hidden="1"/>
    </xf>
    <xf numFmtId="0" fontId="13" fillId="18" borderId="9" xfId="2" applyFont="1" applyFill="1" applyBorder="1" applyAlignment="1" applyProtection="1">
      <alignment horizontal="center" vertical="center" wrapText="1"/>
      <protection hidden="1"/>
    </xf>
    <xf numFmtId="0" fontId="13" fillId="5" borderId="14" xfId="2" applyFont="1" applyFill="1" applyBorder="1" applyAlignment="1" applyProtection="1">
      <alignment horizontal="center" vertical="center" wrapText="1"/>
      <protection hidden="1"/>
    </xf>
    <xf numFmtId="0" fontId="13" fillId="5" borderId="15" xfId="2" applyFont="1" applyFill="1" applyBorder="1" applyAlignment="1" applyProtection="1">
      <alignment horizontal="center" vertical="center" wrapText="1"/>
      <protection hidden="1"/>
    </xf>
    <xf numFmtId="0" fontId="13" fillId="5" borderId="9" xfId="2" applyFont="1" applyFill="1" applyBorder="1" applyAlignment="1" applyProtection="1">
      <alignment horizontal="center" vertical="center" wrapText="1"/>
      <protection hidden="1"/>
    </xf>
    <xf numFmtId="0" fontId="2" fillId="26" borderId="10" xfId="0" applyFont="1" applyFill="1" applyBorder="1" applyAlignment="1" applyProtection="1">
      <alignment horizontal="right" vertical="center" wrapText="1"/>
      <protection hidden="1"/>
    </xf>
    <xf numFmtId="0" fontId="2" fillId="26" borderId="11" xfId="0" applyFont="1" applyFill="1" applyBorder="1" applyAlignment="1" applyProtection="1">
      <alignment horizontal="right" vertical="center"/>
      <protection hidden="1"/>
    </xf>
    <xf numFmtId="0" fontId="2" fillId="26" borderId="8" xfId="0" applyFont="1" applyFill="1" applyBorder="1" applyAlignment="1" applyProtection="1">
      <alignment horizontal="right" vertical="center"/>
      <protection hidden="1"/>
    </xf>
    <xf numFmtId="0" fontId="2" fillId="25" borderId="10" xfId="0" applyFont="1" applyFill="1" applyBorder="1" applyAlignment="1" applyProtection="1">
      <alignment horizontal="right" vertical="center" wrapText="1"/>
      <protection hidden="1"/>
    </xf>
    <xf numFmtId="0" fontId="2" fillId="25" borderId="11" xfId="0" applyFont="1" applyFill="1" applyBorder="1" applyAlignment="1" applyProtection="1">
      <alignment horizontal="right" vertical="center"/>
      <protection hidden="1"/>
    </xf>
    <xf numFmtId="0" fontId="2" fillId="25" borderId="8" xfId="0" applyFont="1" applyFill="1" applyBorder="1" applyAlignment="1" applyProtection="1">
      <alignment horizontal="right" vertical="center"/>
      <protection hidden="1"/>
    </xf>
    <xf numFmtId="165" fontId="17" fillId="5" borderId="2" xfId="1" applyNumberFormat="1" applyFont="1" applyFill="1" applyBorder="1" applyAlignment="1" applyProtection="1">
      <alignment horizontal="center" vertical="center"/>
      <protection hidden="1"/>
    </xf>
    <xf numFmtId="165" fontId="17" fillId="5" borderId="4" xfId="1" applyNumberFormat="1" applyFont="1" applyFill="1" applyBorder="1" applyAlignment="1" applyProtection="1">
      <alignment horizontal="center" vertical="center"/>
      <protection hidden="1"/>
    </xf>
    <xf numFmtId="165" fontId="17" fillId="6" borderId="3" xfId="1" applyNumberFormat="1" applyFont="1" applyFill="1" applyBorder="1" applyAlignment="1" applyProtection="1">
      <alignment horizontal="center" vertical="center"/>
      <protection hidden="1"/>
    </xf>
    <xf numFmtId="165" fontId="17" fillId="6" borderId="2" xfId="1" applyNumberFormat="1" applyFont="1" applyFill="1" applyBorder="1" applyAlignment="1" applyProtection="1">
      <alignment horizontal="center" vertical="center"/>
      <protection hidden="1"/>
    </xf>
    <xf numFmtId="165" fontId="17" fillId="6" borderId="4" xfId="1" applyNumberFormat="1" applyFont="1" applyFill="1" applyBorder="1" applyAlignment="1" applyProtection="1">
      <alignment horizontal="center" vertical="center"/>
      <protection hidden="1"/>
    </xf>
    <xf numFmtId="165" fontId="17" fillId="7" borderId="3" xfId="1" applyNumberFormat="1" applyFont="1" applyFill="1" applyBorder="1" applyAlignment="1" applyProtection="1">
      <alignment horizontal="center" vertical="center"/>
      <protection hidden="1"/>
    </xf>
    <xf numFmtId="165" fontId="17" fillId="7" borderId="2" xfId="1" applyNumberFormat="1" applyFont="1" applyFill="1" applyBorder="1" applyAlignment="1" applyProtection="1">
      <alignment horizontal="center" vertical="center"/>
      <protection hidden="1"/>
    </xf>
    <xf numFmtId="165" fontId="17" fillId="7" borderId="4" xfId="1" applyNumberFormat="1" applyFont="1" applyFill="1" applyBorder="1" applyAlignment="1" applyProtection="1">
      <alignment horizontal="center" vertical="center"/>
      <protection hidden="1"/>
    </xf>
    <xf numFmtId="165" fontId="17" fillId="8" borderId="3" xfId="1" applyNumberFormat="1" applyFont="1" applyFill="1" applyBorder="1" applyAlignment="1" applyProtection="1">
      <alignment horizontal="center" vertical="center"/>
      <protection hidden="1"/>
    </xf>
    <xf numFmtId="165" fontId="17" fillId="8" borderId="2" xfId="1" applyNumberFormat="1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5" fillId="9" borderId="2" xfId="0" applyFont="1" applyFill="1" applyBorder="1" applyAlignment="1" applyProtection="1">
      <alignment horizontal="center" vertical="center"/>
      <protection hidden="1"/>
    </xf>
    <xf numFmtId="0" fontId="5" fillId="9" borderId="4" xfId="0" applyFont="1" applyFill="1" applyBorder="1" applyAlignment="1" applyProtection="1">
      <alignment horizontal="center" vertical="center"/>
      <protection hidden="1"/>
    </xf>
    <xf numFmtId="0" fontId="2" fillId="36" borderId="10" xfId="0" applyFont="1" applyFill="1" applyBorder="1" applyAlignment="1" applyProtection="1">
      <alignment horizontal="right" vertical="center" wrapText="1"/>
      <protection hidden="1"/>
    </xf>
    <xf numFmtId="0" fontId="2" fillId="36" borderId="11" xfId="0" applyFont="1" applyFill="1" applyBorder="1" applyAlignment="1" applyProtection="1">
      <alignment horizontal="right" vertical="center"/>
      <protection hidden="1"/>
    </xf>
    <xf numFmtId="0" fontId="2" fillId="36" borderId="8" xfId="0" applyFont="1" applyFill="1" applyBorder="1" applyAlignment="1" applyProtection="1">
      <alignment horizontal="right" vertical="center"/>
      <protection hidden="1"/>
    </xf>
    <xf numFmtId="169" fontId="4" fillId="4" borderId="5" xfId="1" applyNumberFormat="1" applyFont="1" applyFill="1" applyBorder="1" applyAlignment="1" applyProtection="1">
      <alignment horizontal="center" vertical="center"/>
      <protection hidden="1"/>
    </xf>
    <xf numFmtId="169" fontId="4" fillId="4" borderId="6" xfId="1" applyNumberFormat="1" applyFont="1" applyFill="1" applyBorder="1" applyAlignment="1" applyProtection="1">
      <alignment horizontal="center" vertical="center"/>
      <protection hidden="1"/>
    </xf>
    <xf numFmtId="169" fontId="11" fillId="12" borderId="2" xfId="1" applyNumberFormat="1" applyFont="1" applyFill="1" applyBorder="1" applyAlignment="1" applyProtection="1">
      <alignment horizontal="center" vertical="center"/>
      <protection hidden="1"/>
    </xf>
    <xf numFmtId="169" fontId="4" fillId="13" borderId="3" xfId="1" applyNumberFormat="1" applyFont="1" applyFill="1" applyBorder="1" applyAlignment="1" applyProtection="1">
      <alignment horizontal="center" vertical="center"/>
      <protection hidden="1"/>
    </xf>
    <xf numFmtId="169" fontId="4" fillId="13" borderId="2" xfId="1" applyNumberFormat="1" applyFont="1" applyFill="1" applyBorder="1" applyAlignment="1" applyProtection="1">
      <alignment horizontal="center" vertical="center"/>
      <protection hidden="1"/>
    </xf>
    <xf numFmtId="0" fontId="2" fillId="21" borderId="3" xfId="0" applyFont="1" applyFill="1" applyBorder="1" applyAlignment="1">
      <alignment horizontal="center" vertical="center" wrapText="1"/>
    </xf>
    <xf numFmtId="0" fontId="2" fillId="21" borderId="4" xfId="0" applyFont="1" applyFill="1" applyBorder="1" applyAlignment="1">
      <alignment horizontal="center" vertical="center" wrapText="1"/>
    </xf>
    <xf numFmtId="169" fontId="4" fillId="13" borderId="5" xfId="1" applyNumberFormat="1" applyFont="1" applyFill="1" applyBorder="1" applyAlignment="1" applyProtection="1">
      <alignment horizontal="center" vertical="center"/>
      <protection hidden="1"/>
    </xf>
    <xf numFmtId="169" fontId="4" fillId="13" borderId="6" xfId="1" applyNumberFormat="1" applyFont="1" applyFill="1" applyBorder="1" applyAlignment="1" applyProtection="1">
      <alignment horizontal="center" vertical="center"/>
      <protection hidden="1"/>
    </xf>
    <xf numFmtId="169" fontId="4" fillId="13" borderId="7" xfId="1" applyNumberFormat="1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 wrapText="1"/>
      <protection hidden="1"/>
    </xf>
    <xf numFmtId="0" fontId="2" fillId="2" borderId="6" xfId="0" applyFont="1" applyFill="1" applyBorder="1" applyAlignment="1" applyProtection="1">
      <alignment horizontal="center" vertical="center" wrapText="1"/>
      <protection hidden="1"/>
    </xf>
    <xf numFmtId="0" fontId="2" fillId="2" borderId="7" xfId="0" applyFont="1" applyFill="1" applyBorder="1" applyAlignment="1" applyProtection="1">
      <alignment horizontal="center" vertical="center" wrapText="1"/>
      <protection hidden="1"/>
    </xf>
    <xf numFmtId="0" fontId="2" fillId="2" borderId="12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2" fillId="2" borderId="13" xfId="0" applyFont="1" applyFill="1" applyBorder="1" applyAlignment="1" applyProtection="1">
      <alignment horizontal="center" vertical="center" wrapText="1"/>
      <protection hidden="1"/>
    </xf>
    <xf numFmtId="170" fontId="5" fillId="20" borderId="2" xfId="1" applyNumberFormat="1" applyFont="1" applyFill="1" applyBorder="1" applyAlignment="1" applyProtection="1">
      <alignment horizontal="left" vertical="center"/>
      <protection hidden="1"/>
    </xf>
    <xf numFmtId="170" fontId="5" fillId="20" borderId="4" xfId="1" applyNumberFormat="1" applyFont="1" applyFill="1" applyBorder="1" applyAlignment="1" applyProtection="1">
      <alignment horizontal="left" vertical="center"/>
      <protection hidden="1"/>
    </xf>
    <xf numFmtId="169" fontId="4" fillId="4" borderId="7" xfId="1" applyNumberFormat="1" applyFont="1" applyFill="1" applyBorder="1" applyAlignment="1" applyProtection="1">
      <alignment horizontal="center" vertical="center"/>
      <protection hidden="1"/>
    </xf>
    <xf numFmtId="169" fontId="11" fillId="12" borderId="4" xfId="1" applyNumberFormat="1" applyFont="1" applyFill="1" applyBorder="1" applyAlignment="1" applyProtection="1">
      <alignment horizontal="center" vertical="center"/>
      <protection hidden="1"/>
    </xf>
    <xf numFmtId="169" fontId="4" fillId="13" borderId="4" xfId="1" applyNumberFormat="1" applyFont="1" applyFill="1" applyBorder="1" applyAlignment="1" applyProtection="1">
      <alignment horizontal="center" vertical="center"/>
      <protection hidden="1"/>
    </xf>
    <xf numFmtId="169" fontId="4" fillId="4" borderId="3" xfId="1" applyNumberFormat="1" applyFont="1" applyFill="1" applyBorder="1" applyAlignment="1" applyProtection="1">
      <alignment horizontal="center" vertical="center"/>
      <protection hidden="1"/>
    </xf>
    <xf numFmtId="169" fontId="4" fillId="4" borderId="2" xfId="1" applyNumberFormat="1" applyFont="1" applyFill="1" applyBorder="1" applyAlignment="1" applyProtection="1">
      <alignment horizontal="center" vertical="center"/>
      <protection hidden="1"/>
    </xf>
    <xf numFmtId="169" fontId="4" fillId="4" borderId="4" xfId="1" applyNumberFormat="1" applyFont="1" applyFill="1" applyBorder="1" applyAlignment="1" applyProtection="1">
      <alignment horizontal="center" vertical="center"/>
      <protection hidden="1"/>
    </xf>
    <xf numFmtId="169" fontId="11" fillId="12" borderId="3" xfId="1" applyNumberFormat="1" applyFont="1" applyFill="1" applyBorder="1" applyAlignment="1" applyProtection="1">
      <alignment horizontal="center" vertical="center"/>
      <protection hidden="1"/>
    </xf>
    <xf numFmtId="182" fontId="15" fillId="17" borderId="3" xfId="0" applyNumberFormat="1" applyFont="1" applyFill="1" applyBorder="1" applyAlignment="1" applyProtection="1">
      <alignment horizontal="center" shrinkToFit="1"/>
      <protection hidden="1"/>
    </xf>
    <xf numFmtId="182" fontId="15" fillId="17" borderId="2" xfId="0" applyNumberFormat="1" applyFont="1" applyFill="1" applyBorder="1" applyAlignment="1" applyProtection="1">
      <alignment horizontal="center" shrinkToFit="1"/>
      <protection hidden="1"/>
    </xf>
    <xf numFmtId="182" fontId="15" fillId="17" borderId="4" xfId="0" applyNumberFormat="1" applyFont="1" applyFill="1" applyBorder="1" applyAlignment="1" applyProtection="1">
      <alignment horizontal="center" shrinkToFit="1"/>
      <protection hidden="1"/>
    </xf>
    <xf numFmtId="170" fontId="5" fillId="19" borderId="2" xfId="1" applyNumberFormat="1" applyFont="1" applyFill="1" applyBorder="1" applyAlignment="1" applyProtection="1">
      <alignment horizontal="left" vertical="center"/>
      <protection hidden="1"/>
    </xf>
    <xf numFmtId="170" fontId="5" fillId="19" borderId="4" xfId="1" applyNumberFormat="1" applyFont="1" applyFill="1" applyBorder="1" applyAlignment="1" applyProtection="1">
      <alignment horizontal="left" vertical="center"/>
      <protection hidden="1"/>
    </xf>
    <xf numFmtId="9" fontId="20" fillId="21" borderId="5" xfId="0" applyNumberFormat="1" applyFont="1" applyFill="1" applyBorder="1" applyAlignment="1" applyProtection="1">
      <alignment horizontal="center" vertical="center" wrapText="1"/>
      <protection hidden="1"/>
    </xf>
    <xf numFmtId="9" fontId="20" fillId="21" borderId="6" xfId="0" applyNumberFormat="1" applyFont="1" applyFill="1" applyBorder="1" applyAlignment="1" applyProtection="1">
      <alignment horizontal="center" vertical="center" wrapText="1"/>
      <protection hidden="1"/>
    </xf>
    <xf numFmtId="9" fontId="20" fillId="21" borderId="7" xfId="0" applyNumberFormat="1" applyFont="1" applyFill="1" applyBorder="1" applyAlignment="1" applyProtection="1">
      <alignment horizontal="center" vertical="center" wrapText="1"/>
      <protection hidden="1"/>
    </xf>
    <xf numFmtId="0" fontId="2" fillId="21" borderId="3" xfId="0" applyFont="1" applyFill="1" applyBorder="1" applyAlignment="1" applyProtection="1">
      <alignment horizontal="center" vertical="center" wrapText="1"/>
      <protection hidden="1"/>
    </xf>
    <xf numFmtId="0" fontId="2" fillId="21" borderId="2" xfId="0" applyFont="1" applyFill="1" applyBorder="1" applyAlignment="1" applyProtection="1">
      <alignment horizontal="center" vertical="center" wrapText="1"/>
      <protection hidden="1"/>
    </xf>
    <xf numFmtId="0" fontId="2" fillId="21" borderId="4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alignment horizontal="right"/>
      <protection hidden="1"/>
    </xf>
    <xf numFmtId="0" fontId="18" fillId="2" borderId="0" xfId="0" applyFont="1" applyFill="1" applyAlignment="1" applyProtection="1">
      <alignment horizontal="center"/>
      <protection hidden="1"/>
    </xf>
    <xf numFmtId="170" fontId="5" fillId="18" borderId="2" xfId="1" applyNumberFormat="1" applyFont="1" applyFill="1" applyBorder="1" applyAlignment="1" applyProtection="1">
      <alignment horizontal="left" vertical="center"/>
      <protection hidden="1"/>
    </xf>
    <xf numFmtId="170" fontId="5" fillId="18" borderId="4" xfId="1" applyNumberFormat="1" applyFont="1" applyFill="1" applyBorder="1" applyAlignment="1" applyProtection="1">
      <alignment horizontal="left" vertical="center"/>
      <protection hidden="1"/>
    </xf>
    <xf numFmtId="0" fontId="18" fillId="2" borderId="0" xfId="0" applyFont="1" applyFill="1" applyBorder="1" applyAlignment="1" applyProtection="1">
      <alignment horizontal="center"/>
      <protection hidden="1"/>
    </xf>
    <xf numFmtId="170" fontId="17" fillId="5" borderId="2" xfId="1" applyNumberFormat="1" applyFont="1" applyFill="1" applyBorder="1" applyAlignment="1" applyProtection="1">
      <alignment horizontal="left" vertical="center"/>
      <protection hidden="1"/>
    </xf>
    <xf numFmtId="170" fontId="17" fillId="5" borderId="4" xfId="1" applyNumberFormat="1" applyFont="1" applyFill="1" applyBorder="1" applyAlignment="1" applyProtection="1">
      <alignment horizontal="left" vertical="center"/>
      <protection hidden="1"/>
    </xf>
    <xf numFmtId="0" fontId="2" fillId="2" borderId="14" xfId="0" applyFont="1" applyFill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 wrapText="1"/>
      <protection hidden="1"/>
    </xf>
    <xf numFmtId="0" fontId="2" fillId="2" borderId="9" xfId="0" applyFont="1" applyFill="1" applyBorder="1" applyAlignment="1" applyProtection="1">
      <alignment horizontal="center" vertical="center" wrapText="1"/>
      <protection hidden="1"/>
    </xf>
    <xf numFmtId="169" fontId="4" fillId="2" borderId="0" xfId="1" applyNumberFormat="1" applyFont="1" applyFill="1" applyBorder="1" applyAlignment="1" applyProtection="1">
      <alignment horizontal="center" vertical="center"/>
      <protection hidden="1"/>
    </xf>
    <xf numFmtId="169" fontId="11" fillId="2" borderId="0" xfId="1" applyNumberFormat="1" applyFont="1" applyFill="1" applyBorder="1" applyAlignment="1" applyProtection="1">
      <alignment horizontal="center" vertical="center"/>
      <protection hidden="1"/>
    </xf>
    <xf numFmtId="170" fontId="17" fillId="6" borderId="2" xfId="1" applyNumberFormat="1" applyFont="1" applyFill="1" applyBorder="1" applyAlignment="1" applyProtection="1">
      <alignment horizontal="left" vertical="center"/>
      <protection hidden="1"/>
    </xf>
    <xf numFmtId="170" fontId="17" fillId="6" borderId="4" xfId="1" applyNumberFormat="1" applyFont="1" applyFill="1" applyBorder="1" applyAlignment="1" applyProtection="1">
      <alignment horizontal="left" vertical="center"/>
      <protection hidden="1"/>
    </xf>
    <xf numFmtId="170" fontId="17" fillId="7" borderId="2" xfId="1" applyNumberFormat="1" applyFont="1" applyFill="1" applyBorder="1" applyAlignment="1" applyProtection="1">
      <alignment horizontal="left" vertical="center"/>
      <protection hidden="1"/>
    </xf>
    <xf numFmtId="170" fontId="17" fillId="7" borderId="4" xfId="1" applyNumberFormat="1" applyFont="1" applyFill="1" applyBorder="1" applyAlignment="1" applyProtection="1">
      <alignment horizontal="left" vertical="center"/>
      <protection hidden="1"/>
    </xf>
    <xf numFmtId="170" fontId="17" fillId="8" borderId="2" xfId="1" applyNumberFormat="1" applyFont="1" applyFill="1" applyBorder="1" applyAlignment="1" applyProtection="1">
      <alignment horizontal="left" vertical="center"/>
      <protection hidden="1"/>
    </xf>
    <xf numFmtId="170" fontId="17" fillId="8" borderId="4" xfId="1" applyNumberFormat="1" applyFont="1" applyFill="1" applyBorder="1" applyAlignment="1" applyProtection="1">
      <alignment horizontal="left" vertical="center"/>
      <protection hidden="1"/>
    </xf>
    <xf numFmtId="170" fontId="5" fillId="9" borderId="2" xfId="1" applyNumberFormat="1" applyFont="1" applyFill="1" applyBorder="1" applyAlignment="1" applyProtection="1">
      <alignment horizontal="left" vertical="center"/>
      <protection hidden="1"/>
    </xf>
    <xf numFmtId="170" fontId="5" fillId="9" borderId="4" xfId="1" applyNumberFormat="1" applyFont="1" applyFill="1" applyBorder="1" applyAlignment="1" applyProtection="1">
      <alignment horizontal="left" vertical="center"/>
      <protection hidden="1"/>
    </xf>
    <xf numFmtId="164" fontId="4" fillId="3" borderId="10" xfId="1" applyNumberFormat="1" applyFont="1" applyFill="1" applyBorder="1" applyAlignment="1" applyProtection="1">
      <alignment horizontal="center" vertical="center" wrapText="1"/>
      <protection hidden="1"/>
    </xf>
    <xf numFmtId="164" fontId="4" fillId="3" borderId="8" xfId="1" applyNumberFormat="1" applyFont="1" applyFill="1" applyBorder="1" applyAlignment="1" applyProtection="1">
      <alignment horizontal="center" vertical="center" wrapText="1"/>
      <protection hidden="1"/>
    </xf>
    <xf numFmtId="178" fontId="15" fillId="17" borderId="3" xfId="8" applyNumberFormat="1" applyFont="1" applyFill="1" applyBorder="1" applyAlignment="1">
      <alignment horizontal="center" vertical="center"/>
    </xf>
    <xf numFmtId="178" fontId="15" fillId="17" borderId="2" xfId="8" applyNumberFormat="1" applyFont="1" applyFill="1" applyBorder="1" applyAlignment="1">
      <alignment horizontal="center" vertical="center"/>
    </xf>
    <xf numFmtId="178" fontId="15" fillId="17" borderId="4" xfId="8" applyNumberFormat="1" applyFont="1" applyFill="1" applyBorder="1" applyAlignment="1">
      <alignment horizontal="center" vertical="center"/>
    </xf>
    <xf numFmtId="179" fontId="5" fillId="17" borderId="3" xfId="8" applyNumberFormat="1" applyFont="1" applyFill="1" applyBorder="1" applyAlignment="1">
      <alignment horizontal="center" vertical="center"/>
    </xf>
    <xf numFmtId="179" fontId="5" fillId="17" borderId="2" xfId="8" applyNumberFormat="1" applyFont="1" applyFill="1" applyBorder="1" applyAlignment="1">
      <alignment horizontal="center" vertical="center"/>
    </xf>
    <xf numFmtId="179" fontId="5" fillId="17" borderId="4" xfId="8" applyNumberFormat="1" applyFont="1" applyFill="1" applyBorder="1" applyAlignment="1">
      <alignment horizontal="center" vertical="center"/>
    </xf>
    <xf numFmtId="0" fontId="5" fillId="0" borderId="12" xfId="8" applyFont="1" applyBorder="1" applyAlignment="1" applyProtection="1">
      <alignment horizontal="center" vertical="center"/>
      <protection hidden="1"/>
    </xf>
    <xf numFmtId="0" fontId="5" fillId="0" borderId="0" xfId="8" applyFont="1" applyBorder="1" applyAlignment="1" applyProtection="1">
      <alignment horizontal="center" vertical="center"/>
      <protection hidden="1"/>
    </xf>
    <xf numFmtId="0" fontId="5" fillId="0" borderId="0" xfId="8" applyFont="1" applyAlignment="1" applyProtection="1">
      <alignment horizontal="center" vertical="center"/>
      <protection hidden="1"/>
    </xf>
    <xf numFmtId="0" fontId="5" fillId="17" borderId="3" xfId="8" applyFont="1" applyFill="1" applyBorder="1" applyAlignment="1" applyProtection="1">
      <alignment horizontal="center" vertical="center"/>
      <protection hidden="1"/>
    </xf>
    <xf numFmtId="0" fontId="5" fillId="17" borderId="2" xfId="8" applyFont="1" applyFill="1" applyBorder="1" applyAlignment="1" applyProtection="1">
      <alignment horizontal="center" vertical="center"/>
      <protection hidden="1"/>
    </xf>
    <xf numFmtId="0" fontId="5" fillId="17" borderId="4" xfId="8" applyFont="1" applyFill="1" applyBorder="1" applyAlignment="1" applyProtection="1">
      <alignment horizontal="center" vertical="center"/>
      <protection hidden="1"/>
    </xf>
    <xf numFmtId="176" fontId="15" fillId="17" borderId="3" xfId="8" applyNumberFormat="1" applyFont="1" applyFill="1" applyBorder="1" applyAlignment="1">
      <alignment horizontal="center" vertical="center"/>
    </xf>
    <xf numFmtId="176" fontId="15" fillId="17" borderId="2" xfId="8" applyNumberFormat="1" applyFont="1" applyFill="1" applyBorder="1" applyAlignment="1">
      <alignment horizontal="center" vertical="center"/>
    </xf>
    <xf numFmtId="176" fontId="15" fillId="17" borderId="4" xfId="8" applyNumberFormat="1" applyFont="1" applyFill="1" applyBorder="1" applyAlignment="1">
      <alignment horizontal="center" vertical="center"/>
    </xf>
    <xf numFmtId="177" fontId="5" fillId="17" borderId="3" xfId="8" applyNumberFormat="1" applyFont="1" applyFill="1" applyBorder="1" applyAlignment="1">
      <alignment horizontal="center" vertical="center"/>
    </xf>
    <xf numFmtId="177" fontId="5" fillId="17" borderId="2" xfId="8" applyNumberFormat="1" applyFont="1" applyFill="1" applyBorder="1" applyAlignment="1">
      <alignment horizontal="center" vertical="center"/>
    </xf>
    <xf numFmtId="177" fontId="5" fillId="17" borderId="4" xfId="8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65" fontId="15" fillId="2" borderId="3" xfId="0" quotePrefix="1" applyNumberFormat="1" applyFont="1" applyFill="1" applyBorder="1" applyAlignment="1" applyProtection="1">
      <alignment horizontal="center"/>
      <protection hidden="1"/>
    </xf>
    <xf numFmtId="165" fontId="15" fillId="2" borderId="4" xfId="0" quotePrefix="1" applyNumberFormat="1" applyFont="1" applyFill="1" applyBorder="1" applyAlignment="1" applyProtection="1">
      <alignment horizontal="center"/>
      <protection hidden="1"/>
    </xf>
    <xf numFmtId="0" fontId="2" fillId="2" borderId="10" xfId="0" applyFont="1" applyFill="1" applyBorder="1" applyAlignment="1" applyProtection="1">
      <alignment horizontal="center" wrapText="1"/>
      <protection hidden="1"/>
    </xf>
    <xf numFmtId="0" fontId="2" fillId="2" borderId="8" xfId="0" applyFont="1" applyFill="1" applyBorder="1" applyAlignment="1" applyProtection="1">
      <alignment horizontal="center" wrapText="1"/>
      <protection hidden="1"/>
    </xf>
    <xf numFmtId="0" fontId="15" fillId="20" borderId="5" xfId="7" quotePrefix="1" applyFont="1" applyFill="1" applyBorder="1" applyAlignment="1" applyProtection="1">
      <alignment horizontal="center" vertical="center"/>
      <protection hidden="1"/>
    </xf>
    <xf numFmtId="0" fontId="15" fillId="20" borderId="7" xfId="7" quotePrefix="1" applyFont="1" applyFill="1" applyBorder="1" applyAlignment="1" applyProtection="1">
      <alignment horizontal="center" vertical="center"/>
      <protection hidden="1"/>
    </xf>
    <xf numFmtId="0" fontId="15" fillId="19" borderId="3" xfId="7" quotePrefix="1" applyFont="1" applyFill="1" applyBorder="1" applyAlignment="1" applyProtection="1">
      <alignment horizontal="center" vertical="center"/>
      <protection hidden="1"/>
    </xf>
    <xf numFmtId="0" fontId="15" fillId="19" borderId="4" xfId="7" quotePrefix="1" applyFont="1" applyFill="1" applyBorder="1" applyAlignment="1" applyProtection="1">
      <alignment horizontal="center" vertical="center"/>
      <protection hidden="1"/>
    </xf>
    <xf numFmtId="165" fontId="5" fillId="18" borderId="3" xfId="1" quotePrefix="1" applyNumberFormat="1" applyFont="1" applyFill="1" applyBorder="1" applyAlignment="1" applyProtection="1">
      <alignment horizontal="center" vertical="center"/>
      <protection hidden="1"/>
    </xf>
    <xf numFmtId="165" fontId="5" fillId="18" borderId="4" xfId="1" quotePrefix="1" applyNumberFormat="1" applyFont="1" applyFill="1" applyBorder="1" applyAlignment="1" applyProtection="1">
      <alignment horizontal="center" vertical="center"/>
      <protection hidden="1"/>
    </xf>
    <xf numFmtId="165" fontId="17" fillId="5" borderId="3" xfId="1" quotePrefix="1" applyNumberFormat="1" applyFont="1" applyFill="1" applyBorder="1" applyAlignment="1" applyProtection="1">
      <alignment horizontal="center" vertical="center"/>
      <protection hidden="1"/>
    </xf>
    <xf numFmtId="165" fontId="17" fillId="5" borderId="4" xfId="1" quotePrefix="1" applyNumberFormat="1" applyFont="1" applyFill="1" applyBorder="1" applyAlignment="1" applyProtection="1">
      <alignment horizontal="center" vertical="center"/>
      <protection hidden="1"/>
    </xf>
    <xf numFmtId="165" fontId="17" fillId="6" borderId="3" xfId="1" quotePrefix="1" applyNumberFormat="1" applyFont="1" applyFill="1" applyBorder="1" applyAlignment="1" applyProtection="1">
      <alignment horizontal="center" vertical="center"/>
      <protection hidden="1"/>
    </xf>
    <xf numFmtId="165" fontId="17" fillId="6" borderId="4" xfId="1" quotePrefix="1" applyNumberFormat="1" applyFont="1" applyFill="1" applyBorder="1" applyAlignment="1" applyProtection="1">
      <alignment horizontal="center" vertical="center"/>
      <protection hidden="1"/>
    </xf>
    <xf numFmtId="165" fontId="17" fillId="7" borderId="3" xfId="1" quotePrefix="1" applyNumberFormat="1" applyFont="1" applyFill="1" applyBorder="1" applyAlignment="1" applyProtection="1">
      <alignment horizontal="center" vertical="center"/>
      <protection hidden="1"/>
    </xf>
    <xf numFmtId="165" fontId="17" fillId="7" borderId="4" xfId="1" quotePrefix="1" applyNumberFormat="1" applyFont="1" applyFill="1" applyBorder="1" applyAlignment="1" applyProtection="1">
      <alignment horizontal="center" vertical="center"/>
      <protection hidden="1"/>
    </xf>
    <xf numFmtId="165" fontId="17" fillId="8" borderId="3" xfId="1" quotePrefix="1" applyNumberFormat="1" applyFont="1" applyFill="1" applyBorder="1" applyAlignment="1" applyProtection="1">
      <alignment horizontal="center" vertical="center"/>
      <protection hidden="1"/>
    </xf>
    <xf numFmtId="165" fontId="17" fillId="8" borderId="4" xfId="1" quotePrefix="1" applyNumberFormat="1" applyFont="1" applyFill="1" applyBorder="1" applyAlignment="1" applyProtection="1">
      <alignment horizontal="center" vertical="center"/>
      <protection hidden="1"/>
    </xf>
    <xf numFmtId="165" fontId="5" fillId="9" borderId="3" xfId="1" quotePrefix="1" applyNumberFormat="1" applyFont="1" applyFill="1" applyBorder="1" applyAlignment="1" applyProtection="1">
      <alignment horizontal="center" vertical="center"/>
      <protection hidden="1"/>
    </xf>
    <xf numFmtId="165" fontId="5" fillId="9" borderId="4" xfId="1" quotePrefix="1" applyNumberFormat="1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169" fontId="4" fillId="13" borderId="3" xfId="1" quotePrefix="1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/>
      <protection hidden="1"/>
    </xf>
  </cellXfs>
  <cellStyles count="10">
    <cellStyle name="Hyperlink 2" xfId="4"/>
    <cellStyle name="Hyperlink 2 2" xfId="5"/>
    <cellStyle name="Link" xfId="2" builtinId="8"/>
    <cellStyle name="Standard" xfId="0" builtinId="0"/>
    <cellStyle name="Standard 2" xfId="6"/>
    <cellStyle name="Standard 3" xfId="3"/>
    <cellStyle name="Standard 4" xfId="8"/>
    <cellStyle name="Standard 7" xfId="7"/>
    <cellStyle name="Standard_Mappe4_1" xfId="1"/>
    <cellStyle name="Standard_Universaltabelle Düsen" xfId="9"/>
  </cellStyles>
  <dxfs count="835">
    <dxf>
      <font>
        <color theme="1"/>
      </font>
    </dxf>
    <dxf>
      <font>
        <color theme="1"/>
      </font>
    </dxf>
    <dxf>
      <fill>
        <patternFill>
          <bgColor rgb="FF92D050"/>
        </patternFill>
      </fill>
    </dxf>
    <dxf>
      <font>
        <color theme="1"/>
      </font>
    </dxf>
    <dxf>
      <fill>
        <patternFill>
          <bgColor rgb="FF92D050"/>
        </patternFill>
      </fill>
    </dxf>
    <dxf>
      <font>
        <color theme="1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9B9B9B"/>
        </patternFill>
      </fill>
    </dxf>
    <dxf>
      <font>
        <color theme="1"/>
      </font>
      <fill>
        <patternFill>
          <bgColor rgb="FFE25303"/>
        </patternFill>
      </fill>
    </dxf>
    <dxf>
      <font>
        <color theme="1"/>
      </font>
      <fill>
        <patternFill>
          <bgColor rgb="FF008351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844C82"/>
        </patternFill>
      </fill>
    </dxf>
    <dxf>
      <fill>
        <patternFill>
          <bgColor rgb="FF004F7C"/>
        </patternFill>
      </fill>
    </dxf>
    <dxf>
      <fill>
        <patternFill>
          <bgColor rgb="FFA72920"/>
        </patternFill>
      </fill>
    </dxf>
    <dxf>
      <fill>
        <patternFill>
          <bgColor rgb="FF5A3826"/>
        </patternFill>
      </fill>
    </dxf>
  </dxfs>
  <tableStyles count="0" defaultTableStyle="TableStyleMedium2" defaultPivotStyle="PivotStyleLight16"/>
  <colors>
    <mruColors>
      <color rgb="FFFF3300"/>
      <color rgb="FF9B9B9B"/>
      <color rgb="FFFFFF99"/>
      <color rgb="FFE25303"/>
      <color rgb="FF008351"/>
      <color rgb="FFFFFF00"/>
      <color rgb="FF844C82"/>
      <color rgb="FF004F7C"/>
      <color rgb="FFA72920"/>
      <color rgb="FF5A38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kdf06'!A1"/><Relationship Id="rId18" Type="http://schemas.openxmlformats.org/officeDocument/2006/relationships/hyperlink" Target="#'kf06'!A1"/><Relationship Id="rId26" Type="http://schemas.openxmlformats.org/officeDocument/2006/relationships/hyperlink" Target="#'ldf05'!A1"/><Relationship Id="rId39" Type="http://schemas.openxmlformats.org/officeDocument/2006/relationships/hyperlink" Target="#'VA05'!A1"/><Relationship Id="rId21" Type="http://schemas.openxmlformats.org/officeDocument/2006/relationships/hyperlink" Target="#'lf04'!A1"/><Relationship Id="rId34" Type="http://schemas.openxmlformats.org/officeDocument/2006/relationships/hyperlink" Target="#'kf04 Band'!A1"/><Relationship Id="rId42" Type="http://schemas.openxmlformats.org/officeDocument/2006/relationships/hyperlink" Target="#'f05'!A1"/><Relationship Id="rId47" Type="http://schemas.openxmlformats.org/officeDocument/2006/relationships/hyperlink" Target="#Rand04!A1"/><Relationship Id="rId50" Type="http://schemas.openxmlformats.org/officeDocument/2006/relationships/hyperlink" Target="#'ldf06'!A1"/><Relationship Id="rId55" Type="http://schemas.openxmlformats.org/officeDocument/2006/relationships/image" Target="../media/image11.jpeg"/><Relationship Id="rId63" Type="http://schemas.openxmlformats.org/officeDocument/2006/relationships/hyperlink" Target="#Misch06!A1"/><Relationship Id="rId7" Type="http://schemas.openxmlformats.org/officeDocument/2006/relationships/hyperlink" Target="#'kf03'!A1"/><Relationship Id="rId2" Type="http://schemas.openxmlformats.org/officeDocument/2006/relationships/image" Target="../media/image2.jpeg"/><Relationship Id="rId16" Type="http://schemas.openxmlformats.org/officeDocument/2006/relationships/hyperlink" Target="#'kf04'!A1"/><Relationship Id="rId29" Type="http://schemas.openxmlformats.org/officeDocument/2006/relationships/hyperlink" Target="#'kf02 25'!A1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hyperlink" Target="#'kdf04'!A1"/><Relationship Id="rId24" Type="http://schemas.openxmlformats.org/officeDocument/2006/relationships/hyperlink" Target="#'ldf03'!A1"/><Relationship Id="rId32" Type="http://schemas.openxmlformats.org/officeDocument/2006/relationships/hyperlink" Target="#'kf02 Band'!A1"/><Relationship Id="rId37" Type="http://schemas.openxmlformats.org/officeDocument/2006/relationships/hyperlink" Target="#Vorauflauf!A1"/><Relationship Id="rId40" Type="http://schemas.openxmlformats.org/officeDocument/2006/relationships/image" Target="../media/image8.jpeg"/><Relationship Id="rId45" Type="http://schemas.openxmlformats.org/officeDocument/2006/relationships/hyperlink" Target="#Rand025!A1"/><Relationship Id="rId53" Type="http://schemas.openxmlformats.org/officeDocument/2006/relationships/hyperlink" Target="#'df06'!A1"/><Relationship Id="rId58" Type="http://schemas.openxmlformats.org/officeDocument/2006/relationships/hyperlink" Target="#Misch03!A1"/><Relationship Id="rId66" Type="http://schemas.openxmlformats.org/officeDocument/2006/relationships/hyperlink" Target="#D&#252;nger!A1"/><Relationship Id="rId5" Type="http://schemas.openxmlformats.org/officeDocument/2006/relationships/image" Target="../media/image5.png"/><Relationship Id="rId15" Type="http://schemas.openxmlformats.org/officeDocument/2006/relationships/hyperlink" Target="#'ldf025'!A1"/><Relationship Id="rId23" Type="http://schemas.openxmlformats.org/officeDocument/2006/relationships/hyperlink" Target="#'lf06'!A1"/><Relationship Id="rId28" Type="http://schemas.openxmlformats.org/officeDocument/2006/relationships/hyperlink" Target="#'kf015 25'!A1"/><Relationship Id="rId36" Type="http://schemas.openxmlformats.org/officeDocument/2006/relationships/hyperlink" Target="#'kf04 25'!A1"/><Relationship Id="rId49" Type="http://schemas.openxmlformats.org/officeDocument/2006/relationships/hyperlink" Target="#Rand06!A1"/><Relationship Id="rId57" Type="http://schemas.openxmlformats.org/officeDocument/2006/relationships/hyperlink" Target="#Misch025!A1"/><Relationship Id="rId61" Type="http://schemas.openxmlformats.org/officeDocument/2006/relationships/image" Target="../media/image13.png"/><Relationship Id="rId10" Type="http://schemas.openxmlformats.org/officeDocument/2006/relationships/hyperlink" Target="#'kdf025'!A1"/><Relationship Id="rId19" Type="http://schemas.openxmlformats.org/officeDocument/2006/relationships/hyperlink" Target="#'ldf02 50'!A1"/><Relationship Id="rId31" Type="http://schemas.openxmlformats.org/officeDocument/2006/relationships/hyperlink" Target="#'kf015 Band'!A1"/><Relationship Id="rId44" Type="http://schemas.openxmlformats.org/officeDocument/2006/relationships/image" Target="../media/image9.jpeg"/><Relationship Id="rId52" Type="http://schemas.openxmlformats.org/officeDocument/2006/relationships/hyperlink" Target="#'df05'!A1"/><Relationship Id="rId60" Type="http://schemas.openxmlformats.org/officeDocument/2006/relationships/hyperlink" Target="#Misch05!A1"/><Relationship Id="rId65" Type="http://schemas.openxmlformats.org/officeDocument/2006/relationships/image" Target="../media/image15.jpeg"/><Relationship Id="rId4" Type="http://schemas.openxmlformats.org/officeDocument/2006/relationships/image" Target="../media/image4.jpeg"/><Relationship Id="rId9" Type="http://schemas.openxmlformats.org/officeDocument/2006/relationships/hyperlink" Target="#'kdf02 50'!A1"/><Relationship Id="rId14" Type="http://schemas.openxmlformats.org/officeDocument/2006/relationships/hyperlink" Target="#'lf025'!A1"/><Relationship Id="rId22" Type="http://schemas.openxmlformats.org/officeDocument/2006/relationships/hyperlink" Target="#'lf05'!A1"/><Relationship Id="rId27" Type="http://schemas.openxmlformats.org/officeDocument/2006/relationships/hyperlink" Target="#'kdf01 25'!A1"/><Relationship Id="rId30" Type="http://schemas.openxmlformats.org/officeDocument/2006/relationships/hyperlink" Target="#'kf01 Band'!A1"/><Relationship Id="rId35" Type="http://schemas.openxmlformats.org/officeDocument/2006/relationships/hyperlink" Target="#'kf025 25'!A1"/><Relationship Id="rId43" Type="http://schemas.openxmlformats.org/officeDocument/2006/relationships/hyperlink" Target="#'f06'!A1"/><Relationship Id="rId48" Type="http://schemas.openxmlformats.org/officeDocument/2006/relationships/hyperlink" Target="#Rand05!A1"/><Relationship Id="rId56" Type="http://schemas.openxmlformats.org/officeDocument/2006/relationships/image" Target="../media/image12.jpeg"/><Relationship Id="rId64" Type="http://schemas.openxmlformats.org/officeDocument/2006/relationships/hyperlink" Target="#'PWM Allgemein'!A1"/><Relationship Id="rId8" Type="http://schemas.openxmlformats.org/officeDocument/2006/relationships/hyperlink" Target="#'kdf03'!A1"/><Relationship Id="rId51" Type="http://schemas.openxmlformats.org/officeDocument/2006/relationships/hyperlink" Target="#'df04'!A1"/><Relationship Id="rId3" Type="http://schemas.openxmlformats.org/officeDocument/2006/relationships/image" Target="../media/image3.jpeg"/><Relationship Id="rId12" Type="http://schemas.openxmlformats.org/officeDocument/2006/relationships/hyperlink" Target="#'kdf05'!A1"/><Relationship Id="rId17" Type="http://schemas.openxmlformats.org/officeDocument/2006/relationships/hyperlink" Target="#'kf05'!A1"/><Relationship Id="rId25" Type="http://schemas.openxmlformats.org/officeDocument/2006/relationships/hyperlink" Target="#'ldf04'!A1"/><Relationship Id="rId33" Type="http://schemas.openxmlformats.org/officeDocument/2006/relationships/hyperlink" Target="#'kf03 Band'!A1"/><Relationship Id="rId38" Type="http://schemas.openxmlformats.org/officeDocument/2006/relationships/image" Target="../media/image7.jpeg"/><Relationship Id="rId46" Type="http://schemas.openxmlformats.org/officeDocument/2006/relationships/hyperlink" Target="#Rand03!A1"/><Relationship Id="rId59" Type="http://schemas.openxmlformats.org/officeDocument/2006/relationships/hyperlink" Target="#Misch04!A1"/><Relationship Id="rId67" Type="http://schemas.openxmlformats.org/officeDocument/2006/relationships/image" Target="../media/image16.png"/><Relationship Id="rId20" Type="http://schemas.openxmlformats.org/officeDocument/2006/relationships/hyperlink" Target="#'lf03'!A1"/><Relationship Id="rId41" Type="http://schemas.openxmlformats.org/officeDocument/2006/relationships/hyperlink" Target="#'f04'!A1"/><Relationship Id="rId54" Type="http://schemas.openxmlformats.org/officeDocument/2006/relationships/image" Target="../media/image10.jpeg"/><Relationship Id="rId62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1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19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19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Tabelle1!A1"/><Relationship Id="rId1" Type="http://schemas.openxmlformats.org/officeDocument/2006/relationships/image" Target="../media/image20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Zweistoff!A1"/><Relationship Id="rId1" Type="http://schemas.openxmlformats.org/officeDocument/2006/relationships/hyperlink" Target="#Tabelle1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7" Type="http://schemas.openxmlformats.org/officeDocument/2006/relationships/hyperlink" Target="#'Exact Apply'!A1"/><Relationship Id="rId2" Type="http://schemas.openxmlformats.org/officeDocument/2006/relationships/image" Target="../media/image22.png"/><Relationship Id="rId1" Type="http://schemas.openxmlformats.org/officeDocument/2006/relationships/hyperlink" Target="#Tabelle1!A1"/><Relationship Id="rId6" Type="http://schemas.openxmlformats.org/officeDocument/2006/relationships/hyperlink" Target="#DynaJet!A1"/><Relationship Id="rId5" Type="http://schemas.openxmlformats.org/officeDocument/2006/relationships/image" Target="../media/image25.png"/><Relationship Id="rId4" Type="http://schemas.openxmlformats.org/officeDocument/2006/relationships/image" Target="../media/image24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hyperlink" Target="#'PWM Allgemein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hyperlink" Target="#'PWM Allgemein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Tabelle1!A1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0</xdr:col>
      <xdr:colOff>1840083</xdr:colOff>
      <xdr:row>12</xdr:row>
      <xdr:rowOff>108849</xdr:rowOff>
    </xdr:to>
    <xdr:pic>
      <xdr:nvPicPr>
        <xdr:cNvPr id="5" name="Picture 4" descr="DSC_0050_0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clrChange>
            <a:clrFrom>
              <a:srgbClr val="F5EFE3"/>
            </a:clrFrom>
            <a:clrTo>
              <a:srgbClr val="F5EFE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r="-631"/>
        <a:stretch>
          <a:fillRect/>
        </a:stretch>
      </xdr:blipFill>
      <xdr:spPr bwMode="auto">
        <a:xfrm>
          <a:off x="0" y="3033477"/>
          <a:ext cx="1840083" cy="81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12</xdr:row>
      <xdr:rowOff>195027</xdr:rowOff>
    </xdr:from>
    <xdr:to>
      <xdr:col>0</xdr:col>
      <xdr:colOff>1840083</xdr:colOff>
      <xdr:row>16</xdr:row>
      <xdr:rowOff>89799</xdr:rowOff>
    </xdr:to>
    <xdr:pic>
      <xdr:nvPicPr>
        <xdr:cNvPr id="9" name="Picture 4" descr="DSC_0050_0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clrChange>
            <a:clrFrom>
              <a:srgbClr val="F5EFE3"/>
            </a:clrFrom>
            <a:clrTo>
              <a:srgbClr val="F5EFE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r="-631"/>
        <a:stretch>
          <a:fillRect/>
        </a:stretch>
      </xdr:blipFill>
      <xdr:spPr bwMode="auto">
        <a:xfrm>
          <a:off x="0" y="3938352"/>
          <a:ext cx="1840083" cy="81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17</xdr:row>
      <xdr:rowOff>37576</xdr:rowOff>
    </xdr:from>
    <xdr:to>
      <xdr:col>0</xdr:col>
      <xdr:colOff>1885950</xdr:colOff>
      <xdr:row>20</xdr:row>
      <xdr:rowOff>42332</xdr:rowOff>
    </xdr:to>
    <xdr:pic>
      <xdr:nvPicPr>
        <xdr:cNvPr id="14" name="Picture 3" descr="DSC_0048_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clrChange>
            <a:clrFrom>
              <a:srgbClr val="F2ECDE"/>
            </a:clrFrom>
            <a:clrTo>
              <a:srgbClr val="F2ECD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675" y="5145357"/>
          <a:ext cx="1819275" cy="6834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21</xdr:row>
      <xdr:rowOff>51864</xdr:rowOff>
    </xdr:from>
    <xdr:to>
      <xdr:col>0</xdr:col>
      <xdr:colOff>1819275</xdr:colOff>
      <xdr:row>24</xdr:row>
      <xdr:rowOff>56620</xdr:rowOff>
    </xdr:to>
    <xdr:pic>
      <xdr:nvPicPr>
        <xdr:cNvPr id="15" name="Picture 3" descr="DSC_0048_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clrChange>
            <a:clrFrom>
              <a:srgbClr val="F2ECDE"/>
            </a:clrFrom>
            <a:clrTo>
              <a:srgbClr val="F2ECD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6076427"/>
          <a:ext cx="1819275" cy="6834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1989177</xdr:colOff>
      <xdr:row>9</xdr:row>
      <xdr:rowOff>28820</xdr:rowOff>
    </xdr:from>
    <xdr:to>
      <xdr:col>0</xdr:col>
      <xdr:colOff>2866088</xdr:colOff>
      <xdr:row>11</xdr:row>
      <xdr:rowOff>219620</xdr:rowOff>
    </xdr:to>
    <xdr:pic>
      <xdr:nvPicPr>
        <xdr:cNvPr id="18" name="Picture 4" descr="IDK 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89177" y="2848220"/>
          <a:ext cx="876911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2017752</xdr:colOff>
      <xdr:row>17</xdr:row>
      <xdr:rowOff>57395</xdr:rowOff>
    </xdr:from>
    <xdr:to>
      <xdr:col>0</xdr:col>
      <xdr:colOff>2809875</xdr:colOff>
      <xdr:row>19</xdr:row>
      <xdr:rowOff>183850</xdr:rowOff>
    </xdr:to>
    <xdr:pic>
      <xdr:nvPicPr>
        <xdr:cNvPr id="19" name="Picture 4" descr="IDK 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17752" y="5165176"/>
          <a:ext cx="792123" cy="57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1968037</xdr:colOff>
      <xdr:row>13</xdr:row>
      <xdr:rowOff>46228</xdr:rowOff>
    </xdr:from>
    <xdr:to>
      <xdr:col>0</xdr:col>
      <xdr:colOff>2838450</xdr:colOff>
      <xdr:row>15</xdr:row>
      <xdr:rowOff>213971</xdr:rowOff>
    </xdr:to>
    <xdr:pic>
      <xdr:nvPicPr>
        <xdr:cNvPr id="22" name="Picture 5" descr="IDKT 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68037" y="3789553"/>
          <a:ext cx="870413" cy="624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1979943</xdr:colOff>
      <xdr:row>21</xdr:row>
      <xdr:rowOff>46228</xdr:rowOff>
    </xdr:from>
    <xdr:to>
      <xdr:col>0</xdr:col>
      <xdr:colOff>2850356</xdr:colOff>
      <xdr:row>23</xdr:row>
      <xdr:rowOff>213971</xdr:rowOff>
    </xdr:to>
    <xdr:pic>
      <xdr:nvPicPr>
        <xdr:cNvPr id="23" name="Picture 5" descr="IDKT 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79943" y="5594541"/>
          <a:ext cx="870413" cy="62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273844</xdr:colOff>
      <xdr:row>26</xdr:row>
      <xdr:rowOff>35719</xdr:rowOff>
    </xdr:from>
    <xdr:to>
      <xdr:col>0</xdr:col>
      <xdr:colOff>2261312</xdr:colOff>
      <xdr:row>29</xdr:row>
      <xdr:rowOff>216675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3844" y="6738938"/>
          <a:ext cx="1987468" cy="859611"/>
        </a:xfrm>
        <a:prstGeom prst="rect">
          <a:avLst/>
        </a:prstGeom>
      </xdr:spPr>
    </xdr:pic>
    <xdr:clientData/>
  </xdr:twoCellAnchor>
  <xdr:twoCellAnchor>
    <xdr:from>
      <xdr:col>0</xdr:col>
      <xdr:colOff>250031</xdr:colOff>
      <xdr:row>31</xdr:row>
      <xdr:rowOff>59531</xdr:rowOff>
    </xdr:from>
    <xdr:to>
      <xdr:col>0</xdr:col>
      <xdr:colOff>2202656</xdr:colOff>
      <xdr:row>34</xdr:row>
      <xdr:rowOff>212991</xdr:rowOff>
    </xdr:to>
    <xdr:grpSp>
      <xdr:nvGrpSpPr>
        <xdr:cNvPr id="4" name="Gruppieren 3"/>
        <xdr:cNvGrpSpPr/>
      </xdr:nvGrpSpPr>
      <xdr:grpSpPr>
        <a:xfrm>
          <a:off x="250031" y="8200231"/>
          <a:ext cx="1952625" cy="801160"/>
          <a:chOff x="250031" y="7643813"/>
          <a:chExt cx="1959505" cy="867834"/>
        </a:xfrm>
      </xdr:grpSpPr>
      <xdr:sp macro="" textlink="">
        <xdr:nvSpPr>
          <xdr:cNvPr id="20" name="Abgerundetes Rechteck 19"/>
          <xdr:cNvSpPr/>
        </xdr:nvSpPr>
        <xdr:spPr>
          <a:xfrm>
            <a:off x="250031" y="7643813"/>
            <a:ext cx="1959505" cy="867834"/>
          </a:xfrm>
          <a:prstGeom prst="roundRect">
            <a:avLst/>
          </a:prstGeom>
          <a:solidFill>
            <a:srgbClr val="339933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200" b="1"/>
              <a:t>Bandspritzung</a:t>
            </a:r>
          </a:p>
        </xdr:txBody>
      </xdr:sp>
      <xdr:pic>
        <xdr:nvPicPr>
          <xdr:cNvPr id="21" name="Grafik 20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4677" b="17800"/>
          <a:stretch/>
        </xdr:blipFill>
        <xdr:spPr bwMode="auto">
          <a:xfrm>
            <a:off x="715069" y="7967516"/>
            <a:ext cx="996664" cy="4997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13</xdr:col>
      <xdr:colOff>47624</xdr:colOff>
      <xdr:row>9</xdr:row>
      <xdr:rowOff>35719</xdr:rowOff>
    </xdr:from>
    <xdr:to>
      <xdr:col>15</xdr:col>
      <xdr:colOff>671999</xdr:colOff>
      <xdr:row>12</xdr:row>
      <xdr:rowOff>185063</xdr:rowOff>
    </xdr:to>
    <xdr:sp macro="" textlink="">
      <xdr:nvSpPr>
        <xdr:cNvPr id="17" name="Rahmen 16">
          <a:hlinkClick xmlns:r="http://schemas.openxmlformats.org/officeDocument/2006/relationships" r:id="rId7"/>
        </xdr:cNvPr>
        <xdr:cNvSpPr/>
      </xdr:nvSpPr>
      <xdr:spPr>
        <a:xfrm>
          <a:off x="12096749" y="3309938"/>
          <a:ext cx="2196000" cy="82800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>
              <a:solidFill>
                <a:schemeClr val="tx1"/>
              </a:solidFill>
            </a:rPr>
            <a:t>kurze Flachstrahl</a:t>
          </a:r>
          <a:br>
            <a:rPr lang="de-DE" sz="1600">
              <a:solidFill>
                <a:schemeClr val="tx1"/>
              </a:solidFill>
            </a:rPr>
          </a:br>
          <a:r>
            <a:rPr lang="de-DE" sz="1600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13</xdr:col>
      <xdr:colOff>59530</xdr:colOff>
      <xdr:row>13</xdr:row>
      <xdr:rowOff>23813</xdr:rowOff>
    </xdr:from>
    <xdr:to>
      <xdr:col>15</xdr:col>
      <xdr:colOff>683905</xdr:colOff>
      <xdr:row>16</xdr:row>
      <xdr:rowOff>173157</xdr:rowOff>
    </xdr:to>
    <xdr:sp macro="" textlink="">
      <xdr:nvSpPr>
        <xdr:cNvPr id="24" name="Rahmen 23">
          <a:hlinkClick xmlns:r="http://schemas.openxmlformats.org/officeDocument/2006/relationships" r:id="rId8"/>
        </xdr:cNvPr>
        <xdr:cNvSpPr/>
      </xdr:nvSpPr>
      <xdr:spPr>
        <a:xfrm>
          <a:off x="12108655" y="4214813"/>
          <a:ext cx="2196000" cy="828000"/>
        </a:xfrm>
        <a:prstGeom prst="bevel">
          <a:avLst/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kurze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7</xdr:col>
      <xdr:colOff>23811</xdr:colOff>
      <xdr:row>13</xdr:row>
      <xdr:rowOff>23813</xdr:rowOff>
    </xdr:from>
    <xdr:to>
      <xdr:col>9</xdr:col>
      <xdr:colOff>695811</xdr:colOff>
      <xdr:row>16</xdr:row>
      <xdr:rowOff>173157</xdr:rowOff>
    </xdr:to>
    <xdr:sp macro="" textlink="">
      <xdr:nvSpPr>
        <xdr:cNvPr id="25" name="Rahmen 24">
          <a:hlinkClick xmlns:r="http://schemas.openxmlformats.org/officeDocument/2006/relationships" r:id="rId9"/>
        </xdr:cNvPr>
        <xdr:cNvSpPr/>
      </xdr:nvSpPr>
      <xdr:spPr>
        <a:xfrm>
          <a:off x="7500936" y="4214813"/>
          <a:ext cx="2196000" cy="828000"/>
        </a:xfrm>
        <a:prstGeom prst="bevel">
          <a:avLst/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kurze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10</xdr:col>
      <xdr:colOff>35718</xdr:colOff>
      <xdr:row>13</xdr:row>
      <xdr:rowOff>47625</xdr:rowOff>
    </xdr:from>
    <xdr:to>
      <xdr:col>12</xdr:col>
      <xdr:colOff>707718</xdr:colOff>
      <xdr:row>16</xdr:row>
      <xdr:rowOff>196969</xdr:rowOff>
    </xdr:to>
    <xdr:sp macro="" textlink="">
      <xdr:nvSpPr>
        <xdr:cNvPr id="26" name="Rahmen 25">
          <a:hlinkClick xmlns:r="http://schemas.openxmlformats.org/officeDocument/2006/relationships" r:id="rId10"/>
        </xdr:cNvPr>
        <xdr:cNvSpPr/>
      </xdr:nvSpPr>
      <xdr:spPr>
        <a:xfrm>
          <a:off x="9798843" y="4238625"/>
          <a:ext cx="2196000" cy="828000"/>
        </a:xfrm>
        <a:prstGeom prst="bevel">
          <a:avLst/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kurze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16</xdr:col>
      <xdr:colOff>35718</xdr:colOff>
      <xdr:row>13</xdr:row>
      <xdr:rowOff>35719</xdr:rowOff>
    </xdr:from>
    <xdr:to>
      <xdr:col>18</xdr:col>
      <xdr:colOff>707718</xdr:colOff>
      <xdr:row>16</xdr:row>
      <xdr:rowOff>185063</xdr:rowOff>
    </xdr:to>
    <xdr:sp macro="" textlink="">
      <xdr:nvSpPr>
        <xdr:cNvPr id="27" name="Rahmen 26">
          <a:hlinkClick xmlns:r="http://schemas.openxmlformats.org/officeDocument/2006/relationships" r:id="rId11"/>
        </xdr:cNvPr>
        <xdr:cNvSpPr/>
      </xdr:nvSpPr>
      <xdr:spPr>
        <a:xfrm>
          <a:off x="14418468" y="4226719"/>
          <a:ext cx="2196000" cy="828000"/>
        </a:xfrm>
        <a:prstGeom prst="bevel">
          <a:avLst/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kurze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19</xdr:col>
      <xdr:colOff>23811</xdr:colOff>
      <xdr:row>13</xdr:row>
      <xdr:rowOff>35719</xdr:rowOff>
    </xdr:from>
    <xdr:to>
      <xdr:col>21</xdr:col>
      <xdr:colOff>695811</xdr:colOff>
      <xdr:row>16</xdr:row>
      <xdr:rowOff>185063</xdr:rowOff>
    </xdr:to>
    <xdr:sp macro="" textlink="">
      <xdr:nvSpPr>
        <xdr:cNvPr id="28" name="Rahmen 27">
          <a:hlinkClick xmlns:r="http://schemas.openxmlformats.org/officeDocument/2006/relationships" r:id="rId12"/>
        </xdr:cNvPr>
        <xdr:cNvSpPr/>
      </xdr:nvSpPr>
      <xdr:spPr>
        <a:xfrm>
          <a:off x="16692561" y="4226719"/>
          <a:ext cx="2196000" cy="828000"/>
        </a:xfrm>
        <a:prstGeom prst="bevel">
          <a:avLst/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kurze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22</xdr:col>
      <xdr:colOff>23811</xdr:colOff>
      <xdr:row>13</xdr:row>
      <xdr:rowOff>23813</xdr:rowOff>
    </xdr:from>
    <xdr:to>
      <xdr:col>24</xdr:col>
      <xdr:colOff>695811</xdr:colOff>
      <xdr:row>16</xdr:row>
      <xdr:rowOff>185063</xdr:rowOff>
    </xdr:to>
    <xdr:sp macro="" textlink="">
      <xdr:nvSpPr>
        <xdr:cNvPr id="29" name="Rahmen 28">
          <a:hlinkClick xmlns:r="http://schemas.openxmlformats.org/officeDocument/2006/relationships" r:id="rId13"/>
        </xdr:cNvPr>
        <xdr:cNvSpPr/>
      </xdr:nvSpPr>
      <xdr:spPr>
        <a:xfrm>
          <a:off x="18978561" y="4214813"/>
          <a:ext cx="2196000" cy="828000"/>
        </a:xfrm>
        <a:prstGeom prst="bevel">
          <a:avLst/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kurze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10</xdr:col>
      <xdr:colOff>35718</xdr:colOff>
      <xdr:row>17</xdr:row>
      <xdr:rowOff>0</xdr:rowOff>
    </xdr:from>
    <xdr:to>
      <xdr:col>12</xdr:col>
      <xdr:colOff>707718</xdr:colOff>
      <xdr:row>20</xdr:row>
      <xdr:rowOff>149343</xdr:rowOff>
    </xdr:to>
    <xdr:sp macro="" textlink="">
      <xdr:nvSpPr>
        <xdr:cNvPr id="30" name="Rahmen 29">
          <a:hlinkClick xmlns:r="http://schemas.openxmlformats.org/officeDocument/2006/relationships" r:id="rId14"/>
        </xdr:cNvPr>
        <xdr:cNvSpPr/>
      </xdr:nvSpPr>
      <xdr:spPr>
        <a:xfrm>
          <a:off x="9798843" y="5107781"/>
          <a:ext cx="2196000" cy="828000"/>
        </a:xfrm>
        <a:prstGeom prst="bevel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>
              <a:solidFill>
                <a:schemeClr val="tx1"/>
              </a:solidFill>
            </a:rPr>
            <a:t>lange Flachstrahl</a:t>
          </a:r>
          <a:br>
            <a:rPr lang="de-DE" sz="1600">
              <a:solidFill>
                <a:schemeClr val="tx1"/>
              </a:solidFill>
            </a:rPr>
          </a:br>
          <a:r>
            <a:rPr lang="de-DE" sz="1600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10</xdr:col>
      <xdr:colOff>23812</xdr:colOff>
      <xdr:row>21</xdr:row>
      <xdr:rowOff>23813</xdr:rowOff>
    </xdr:from>
    <xdr:to>
      <xdr:col>12</xdr:col>
      <xdr:colOff>695812</xdr:colOff>
      <xdr:row>24</xdr:row>
      <xdr:rowOff>173157</xdr:rowOff>
    </xdr:to>
    <xdr:sp macro="" textlink="">
      <xdr:nvSpPr>
        <xdr:cNvPr id="31" name="Rahmen 30">
          <a:hlinkClick xmlns:r="http://schemas.openxmlformats.org/officeDocument/2006/relationships" r:id="rId15"/>
        </xdr:cNvPr>
        <xdr:cNvSpPr/>
      </xdr:nvSpPr>
      <xdr:spPr>
        <a:xfrm>
          <a:off x="9786937" y="6048376"/>
          <a:ext cx="2196000" cy="828000"/>
        </a:xfrm>
        <a:prstGeom prst="bevel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lange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16</xdr:col>
      <xdr:colOff>35717</xdr:colOff>
      <xdr:row>9</xdr:row>
      <xdr:rowOff>23813</xdr:rowOff>
    </xdr:from>
    <xdr:to>
      <xdr:col>18</xdr:col>
      <xdr:colOff>707717</xdr:colOff>
      <xdr:row>12</xdr:row>
      <xdr:rowOff>173157</xdr:rowOff>
    </xdr:to>
    <xdr:sp macro="" textlink="">
      <xdr:nvSpPr>
        <xdr:cNvPr id="32" name="Rahmen 31">
          <a:hlinkClick xmlns:r="http://schemas.openxmlformats.org/officeDocument/2006/relationships" r:id="rId16"/>
        </xdr:cNvPr>
        <xdr:cNvSpPr/>
      </xdr:nvSpPr>
      <xdr:spPr>
        <a:xfrm>
          <a:off x="14418467" y="3298032"/>
          <a:ext cx="2196000" cy="82800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>
              <a:solidFill>
                <a:schemeClr val="tx1"/>
              </a:solidFill>
            </a:rPr>
            <a:t>kurze Flachstrahl</a:t>
          </a:r>
          <a:br>
            <a:rPr lang="de-DE" sz="1600">
              <a:solidFill>
                <a:schemeClr val="tx1"/>
              </a:solidFill>
            </a:rPr>
          </a:br>
          <a:r>
            <a:rPr lang="de-DE" sz="1600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19</xdr:col>
      <xdr:colOff>11905</xdr:colOff>
      <xdr:row>9</xdr:row>
      <xdr:rowOff>23813</xdr:rowOff>
    </xdr:from>
    <xdr:to>
      <xdr:col>21</xdr:col>
      <xdr:colOff>683905</xdr:colOff>
      <xdr:row>12</xdr:row>
      <xdr:rowOff>173157</xdr:rowOff>
    </xdr:to>
    <xdr:sp macro="" textlink="">
      <xdr:nvSpPr>
        <xdr:cNvPr id="33" name="Rahmen 32">
          <a:hlinkClick xmlns:r="http://schemas.openxmlformats.org/officeDocument/2006/relationships" r:id="rId17"/>
        </xdr:cNvPr>
        <xdr:cNvSpPr/>
      </xdr:nvSpPr>
      <xdr:spPr>
        <a:xfrm>
          <a:off x="16680655" y="3298032"/>
          <a:ext cx="2196000" cy="82800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>
              <a:solidFill>
                <a:schemeClr val="tx1"/>
              </a:solidFill>
            </a:rPr>
            <a:t>kurze Flachstrahl</a:t>
          </a:r>
          <a:br>
            <a:rPr lang="de-DE" sz="1600">
              <a:solidFill>
                <a:schemeClr val="tx1"/>
              </a:solidFill>
            </a:rPr>
          </a:br>
          <a:r>
            <a:rPr lang="de-DE" sz="1600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22</xdr:col>
      <xdr:colOff>35717</xdr:colOff>
      <xdr:row>9</xdr:row>
      <xdr:rowOff>35719</xdr:rowOff>
    </xdr:from>
    <xdr:to>
      <xdr:col>24</xdr:col>
      <xdr:colOff>707717</xdr:colOff>
      <xdr:row>12</xdr:row>
      <xdr:rowOff>196969</xdr:rowOff>
    </xdr:to>
    <xdr:sp macro="" textlink="">
      <xdr:nvSpPr>
        <xdr:cNvPr id="34" name="Rahmen 33">
          <a:hlinkClick xmlns:r="http://schemas.openxmlformats.org/officeDocument/2006/relationships" r:id="rId18"/>
        </xdr:cNvPr>
        <xdr:cNvSpPr/>
      </xdr:nvSpPr>
      <xdr:spPr>
        <a:xfrm>
          <a:off x="18990467" y="3321844"/>
          <a:ext cx="2196000" cy="82800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>
              <a:solidFill>
                <a:schemeClr val="tx1"/>
              </a:solidFill>
            </a:rPr>
            <a:t>kurze Flachstrahl</a:t>
          </a:r>
          <a:br>
            <a:rPr lang="de-DE" sz="1600">
              <a:solidFill>
                <a:schemeClr val="tx1"/>
              </a:solidFill>
            </a:rPr>
          </a:br>
          <a:r>
            <a:rPr lang="de-DE" sz="1600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7</xdr:col>
      <xdr:colOff>23812</xdr:colOff>
      <xdr:row>21</xdr:row>
      <xdr:rowOff>11906</xdr:rowOff>
    </xdr:from>
    <xdr:to>
      <xdr:col>9</xdr:col>
      <xdr:colOff>695812</xdr:colOff>
      <xdr:row>24</xdr:row>
      <xdr:rowOff>161250</xdr:rowOff>
    </xdr:to>
    <xdr:sp macro="" textlink="">
      <xdr:nvSpPr>
        <xdr:cNvPr id="35" name="Rahmen 34">
          <a:hlinkClick xmlns:r="http://schemas.openxmlformats.org/officeDocument/2006/relationships" r:id="rId19"/>
        </xdr:cNvPr>
        <xdr:cNvSpPr/>
      </xdr:nvSpPr>
      <xdr:spPr>
        <a:xfrm>
          <a:off x="7500937" y="6036469"/>
          <a:ext cx="2196000" cy="828000"/>
        </a:xfrm>
        <a:prstGeom prst="bevel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lange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13</xdr:col>
      <xdr:colOff>35718</xdr:colOff>
      <xdr:row>17</xdr:row>
      <xdr:rowOff>35719</xdr:rowOff>
    </xdr:from>
    <xdr:to>
      <xdr:col>15</xdr:col>
      <xdr:colOff>660093</xdr:colOff>
      <xdr:row>20</xdr:row>
      <xdr:rowOff>185062</xdr:rowOff>
    </xdr:to>
    <xdr:sp macro="" textlink="">
      <xdr:nvSpPr>
        <xdr:cNvPr id="36" name="Rahmen 35">
          <a:hlinkClick xmlns:r="http://schemas.openxmlformats.org/officeDocument/2006/relationships" r:id="rId20"/>
        </xdr:cNvPr>
        <xdr:cNvSpPr/>
      </xdr:nvSpPr>
      <xdr:spPr>
        <a:xfrm>
          <a:off x="12084843" y="5143500"/>
          <a:ext cx="2196000" cy="828000"/>
        </a:xfrm>
        <a:prstGeom prst="bevel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>
              <a:solidFill>
                <a:schemeClr val="tx1"/>
              </a:solidFill>
            </a:rPr>
            <a:t>lange Flachstrahl</a:t>
          </a:r>
          <a:br>
            <a:rPr lang="de-DE" sz="1600">
              <a:solidFill>
                <a:schemeClr val="tx1"/>
              </a:solidFill>
            </a:rPr>
          </a:br>
          <a:r>
            <a:rPr lang="de-DE" sz="1600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16</xdr:col>
      <xdr:colOff>47624</xdr:colOff>
      <xdr:row>17</xdr:row>
      <xdr:rowOff>47625</xdr:rowOff>
    </xdr:from>
    <xdr:to>
      <xdr:col>18</xdr:col>
      <xdr:colOff>719624</xdr:colOff>
      <xdr:row>20</xdr:row>
      <xdr:rowOff>196968</xdr:rowOff>
    </xdr:to>
    <xdr:sp macro="" textlink="">
      <xdr:nvSpPr>
        <xdr:cNvPr id="37" name="Rahmen 36">
          <a:hlinkClick xmlns:r="http://schemas.openxmlformats.org/officeDocument/2006/relationships" r:id="rId21"/>
        </xdr:cNvPr>
        <xdr:cNvSpPr/>
      </xdr:nvSpPr>
      <xdr:spPr>
        <a:xfrm>
          <a:off x="14430374" y="5155406"/>
          <a:ext cx="2196000" cy="828000"/>
        </a:xfrm>
        <a:prstGeom prst="bevel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>
              <a:solidFill>
                <a:schemeClr val="tx1"/>
              </a:solidFill>
            </a:rPr>
            <a:t>lange Flachstrahl</a:t>
          </a:r>
          <a:br>
            <a:rPr lang="de-DE" sz="1600">
              <a:solidFill>
                <a:schemeClr val="tx1"/>
              </a:solidFill>
            </a:rPr>
          </a:br>
          <a:r>
            <a:rPr lang="de-DE" sz="1600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19</xdr:col>
      <xdr:colOff>47624</xdr:colOff>
      <xdr:row>17</xdr:row>
      <xdr:rowOff>35718</xdr:rowOff>
    </xdr:from>
    <xdr:to>
      <xdr:col>21</xdr:col>
      <xdr:colOff>719624</xdr:colOff>
      <xdr:row>20</xdr:row>
      <xdr:rowOff>185061</xdr:rowOff>
    </xdr:to>
    <xdr:sp macro="" textlink="">
      <xdr:nvSpPr>
        <xdr:cNvPr id="38" name="Rahmen 37">
          <a:hlinkClick xmlns:r="http://schemas.openxmlformats.org/officeDocument/2006/relationships" r:id="rId22"/>
        </xdr:cNvPr>
        <xdr:cNvSpPr/>
      </xdr:nvSpPr>
      <xdr:spPr>
        <a:xfrm>
          <a:off x="16716374" y="5143499"/>
          <a:ext cx="2196000" cy="828000"/>
        </a:xfrm>
        <a:prstGeom prst="bevel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>
              <a:solidFill>
                <a:schemeClr val="tx1"/>
              </a:solidFill>
            </a:rPr>
            <a:t>lange Flachstrahl</a:t>
          </a:r>
          <a:br>
            <a:rPr lang="de-DE" sz="1600">
              <a:solidFill>
                <a:schemeClr val="tx1"/>
              </a:solidFill>
            </a:rPr>
          </a:br>
          <a:r>
            <a:rPr lang="de-DE" sz="1600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22</xdr:col>
      <xdr:colOff>47624</xdr:colOff>
      <xdr:row>17</xdr:row>
      <xdr:rowOff>47625</xdr:rowOff>
    </xdr:from>
    <xdr:to>
      <xdr:col>24</xdr:col>
      <xdr:colOff>719624</xdr:colOff>
      <xdr:row>20</xdr:row>
      <xdr:rowOff>208875</xdr:rowOff>
    </xdr:to>
    <xdr:sp macro="" textlink="">
      <xdr:nvSpPr>
        <xdr:cNvPr id="39" name="Rahmen 38">
          <a:hlinkClick xmlns:r="http://schemas.openxmlformats.org/officeDocument/2006/relationships" r:id="rId23"/>
        </xdr:cNvPr>
        <xdr:cNvSpPr/>
      </xdr:nvSpPr>
      <xdr:spPr>
        <a:xfrm>
          <a:off x="19002374" y="5143500"/>
          <a:ext cx="2196000" cy="828000"/>
        </a:xfrm>
        <a:prstGeom prst="bevel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>
              <a:solidFill>
                <a:schemeClr val="tx1"/>
              </a:solidFill>
            </a:rPr>
            <a:t>lange Flachstrahl</a:t>
          </a:r>
          <a:br>
            <a:rPr lang="de-DE" sz="1600">
              <a:solidFill>
                <a:schemeClr val="tx1"/>
              </a:solidFill>
            </a:rPr>
          </a:br>
          <a:r>
            <a:rPr lang="de-DE" sz="1600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13</xdr:col>
      <xdr:colOff>47625</xdr:colOff>
      <xdr:row>21</xdr:row>
      <xdr:rowOff>47626</xdr:rowOff>
    </xdr:from>
    <xdr:to>
      <xdr:col>15</xdr:col>
      <xdr:colOff>672000</xdr:colOff>
      <xdr:row>24</xdr:row>
      <xdr:rowOff>196970</xdr:rowOff>
    </xdr:to>
    <xdr:sp macro="" textlink="">
      <xdr:nvSpPr>
        <xdr:cNvPr id="40" name="Rahmen 39">
          <a:hlinkClick xmlns:r="http://schemas.openxmlformats.org/officeDocument/2006/relationships" r:id="rId24"/>
        </xdr:cNvPr>
        <xdr:cNvSpPr/>
      </xdr:nvSpPr>
      <xdr:spPr>
        <a:xfrm>
          <a:off x="12096750" y="6072189"/>
          <a:ext cx="2196000" cy="828000"/>
        </a:xfrm>
        <a:prstGeom prst="bevel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lange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16</xdr:col>
      <xdr:colOff>47625</xdr:colOff>
      <xdr:row>21</xdr:row>
      <xdr:rowOff>47626</xdr:rowOff>
    </xdr:from>
    <xdr:to>
      <xdr:col>18</xdr:col>
      <xdr:colOff>719625</xdr:colOff>
      <xdr:row>24</xdr:row>
      <xdr:rowOff>196970</xdr:rowOff>
    </xdr:to>
    <xdr:sp macro="" textlink="">
      <xdr:nvSpPr>
        <xdr:cNvPr id="41" name="Rahmen 40">
          <a:hlinkClick xmlns:r="http://schemas.openxmlformats.org/officeDocument/2006/relationships" r:id="rId25"/>
        </xdr:cNvPr>
        <xdr:cNvSpPr/>
      </xdr:nvSpPr>
      <xdr:spPr>
        <a:xfrm>
          <a:off x="14430375" y="6072189"/>
          <a:ext cx="2196000" cy="828000"/>
        </a:xfrm>
        <a:prstGeom prst="bevel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lange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19</xdr:col>
      <xdr:colOff>35719</xdr:colOff>
      <xdr:row>21</xdr:row>
      <xdr:rowOff>47626</xdr:rowOff>
    </xdr:from>
    <xdr:to>
      <xdr:col>21</xdr:col>
      <xdr:colOff>707719</xdr:colOff>
      <xdr:row>24</xdr:row>
      <xdr:rowOff>196970</xdr:rowOff>
    </xdr:to>
    <xdr:sp macro="" textlink="">
      <xdr:nvSpPr>
        <xdr:cNvPr id="42" name="Rahmen 41">
          <a:hlinkClick xmlns:r="http://schemas.openxmlformats.org/officeDocument/2006/relationships" r:id="rId26"/>
        </xdr:cNvPr>
        <xdr:cNvSpPr/>
      </xdr:nvSpPr>
      <xdr:spPr>
        <a:xfrm>
          <a:off x="16704469" y="6072189"/>
          <a:ext cx="2196000" cy="828000"/>
        </a:xfrm>
        <a:prstGeom prst="bevel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lange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1</xdr:col>
      <xdr:colOff>23811</xdr:colOff>
      <xdr:row>26</xdr:row>
      <xdr:rowOff>0</xdr:rowOff>
    </xdr:from>
    <xdr:to>
      <xdr:col>3</xdr:col>
      <xdr:colOff>695811</xdr:colOff>
      <xdr:row>29</xdr:row>
      <xdr:rowOff>161250</xdr:rowOff>
    </xdr:to>
    <xdr:sp macro="" textlink="">
      <xdr:nvSpPr>
        <xdr:cNvPr id="43" name="Rahmen 42">
          <a:hlinkClick xmlns:r="http://schemas.openxmlformats.org/officeDocument/2006/relationships" r:id="rId27"/>
        </xdr:cNvPr>
        <xdr:cNvSpPr/>
      </xdr:nvSpPr>
      <xdr:spPr>
        <a:xfrm>
          <a:off x="2928936" y="7143750"/>
          <a:ext cx="2196000" cy="828000"/>
        </a:xfrm>
        <a:prstGeom prst="bevel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25 </a:t>
          </a:r>
          <a:r>
            <a:rPr lang="de-DE" sz="1600" b="1" baseline="0">
              <a:solidFill>
                <a:schemeClr val="tx1"/>
              </a:solidFill>
            </a:rPr>
            <a:t> cm Düsenabstand</a:t>
          </a:r>
          <a:br>
            <a:rPr lang="de-DE" sz="1600" b="1" baseline="0">
              <a:solidFill>
                <a:schemeClr val="tx1"/>
              </a:solidFill>
            </a:rPr>
          </a:br>
          <a:r>
            <a:rPr lang="de-DE" sz="1600" b="1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4</xdr:col>
      <xdr:colOff>11905</xdr:colOff>
      <xdr:row>26</xdr:row>
      <xdr:rowOff>11906</xdr:rowOff>
    </xdr:from>
    <xdr:to>
      <xdr:col>6</xdr:col>
      <xdr:colOff>683905</xdr:colOff>
      <xdr:row>29</xdr:row>
      <xdr:rowOff>173156</xdr:rowOff>
    </xdr:to>
    <xdr:sp macro="" textlink="">
      <xdr:nvSpPr>
        <xdr:cNvPr id="44" name="Rahmen 43">
          <a:hlinkClick xmlns:r="http://schemas.openxmlformats.org/officeDocument/2006/relationships" r:id="rId28"/>
        </xdr:cNvPr>
        <xdr:cNvSpPr/>
      </xdr:nvSpPr>
      <xdr:spPr>
        <a:xfrm>
          <a:off x="5203030" y="7155656"/>
          <a:ext cx="2196000" cy="828000"/>
        </a:xfrm>
        <a:prstGeom prst="bevel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25 </a:t>
          </a:r>
          <a:r>
            <a:rPr lang="de-DE" sz="1600" b="1" baseline="0">
              <a:solidFill>
                <a:schemeClr val="tx1"/>
              </a:solidFill>
            </a:rPr>
            <a:t> cm Düsenabstand</a:t>
          </a:r>
          <a:br>
            <a:rPr lang="de-DE" sz="1600" b="1" baseline="0">
              <a:solidFill>
                <a:schemeClr val="tx1"/>
              </a:solidFill>
            </a:rPr>
          </a:br>
          <a:r>
            <a:rPr lang="de-DE" sz="1600" b="1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7</xdr:col>
      <xdr:colOff>47623</xdr:colOff>
      <xdr:row>26</xdr:row>
      <xdr:rowOff>0</xdr:rowOff>
    </xdr:from>
    <xdr:to>
      <xdr:col>9</xdr:col>
      <xdr:colOff>719623</xdr:colOff>
      <xdr:row>29</xdr:row>
      <xdr:rowOff>161250</xdr:rowOff>
    </xdr:to>
    <xdr:sp macro="" textlink="">
      <xdr:nvSpPr>
        <xdr:cNvPr id="45" name="Rahmen 44">
          <a:hlinkClick xmlns:r="http://schemas.openxmlformats.org/officeDocument/2006/relationships" r:id="rId29"/>
        </xdr:cNvPr>
        <xdr:cNvSpPr/>
      </xdr:nvSpPr>
      <xdr:spPr>
        <a:xfrm>
          <a:off x="7524748" y="7143750"/>
          <a:ext cx="2196000" cy="828000"/>
        </a:xfrm>
        <a:prstGeom prst="bevel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25 </a:t>
          </a:r>
          <a:r>
            <a:rPr lang="de-DE" sz="1600" b="1" baseline="0">
              <a:solidFill>
                <a:schemeClr val="tx1"/>
              </a:solidFill>
            </a:rPr>
            <a:t> cm Düsenabstand</a:t>
          </a:r>
          <a:br>
            <a:rPr lang="de-DE" sz="1600" b="1" baseline="0">
              <a:solidFill>
                <a:schemeClr val="tx1"/>
              </a:solidFill>
            </a:rPr>
          </a:br>
          <a:r>
            <a:rPr lang="de-DE" sz="1600" b="1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1</xdr:col>
      <xdr:colOff>23810</xdr:colOff>
      <xdr:row>31</xdr:row>
      <xdr:rowOff>59531</xdr:rowOff>
    </xdr:from>
    <xdr:to>
      <xdr:col>3</xdr:col>
      <xdr:colOff>695810</xdr:colOff>
      <xdr:row>34</xdr:row>
      <xdr:rowOff>220781</xdr:rowOff>
    </xdr:to>
    <xdr:sp macro="" textlink="">
      <xdr:nvSpPr>
        <xdr:cNvPr id="46" name="Rahmen 45">
          <a:hlinkClick xmlns:r="http://schemas.openxmlformats.org/officeDocument/2006/relationships" r:id="rId30"/>
        </xdr:cNvPr>
        <xdr:cNvSpPr/>
      </xdr:nvSpPr>
      <xdr:spPr>
        <a:xfrm>
          <a:off x="2928935" y="8346281"/>
          <a:ext cx="2196000" cy="828000"/>
        </a:xfrm>
        <a:prstGeom prst="bevel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bg1"/>
              </a:solidFill>
            </a:rPr>
            <a:t>Bandspritzung</a:t>
          </a:r>
          <a:br>
            <a:rPr lang="de-DE" sz="1600" b="1">
              <a:solidFill>
                <a:schemeClr val="bg1"/>
              </a:solidFill>
            </a:rPr>
          </a:br>
          <a:r>
            <a:rPr lang="de-DE" sz="1600" b="1">
              <a:solidFill>
                <a:schemeClr val="bg1"/>
              </a:solidFill>
            </a:rPr>
            <a:t>- zu den Düsen -</a:t>
          </a:r>
        </a:p>
      </xdr:txBody>
    </xdr:sp>
    <xdr:clientData/>
  </xdr:twoCellAnchor>
  <xdr:twoCellAnchor>
    <xdr:from>
      <xdr:col>4</xdr:col>
      <xdr:colOff>47622</xdr:colOff>
      <xdr:row>31</xdr:row>
      <xdr:rowOff>59531</xdr:rowOff>
    </xdr:from>
    <xdr:to>
      <xdr:col>6</xdr:col>
      <xdr:colOff>719622</xdr:colOff>
      <xdr:row>34</xdr:row>
      <xdr:rowOff>220781</xdr:rowOff>
    </xdr:to>
    <xdr:sp macro="" textlink="">
      <xdr:nvSpPr>
        <xdr:cNvPr id="47" name="Rahmen 46">
          <a:hlinkClick xmlns:r="http://schemas.openxmlformats.org/officeDocument/2006/relationships" r:id="rId31"/>
        </xdr:cNvPr>
        <xdr:cNvSpPr/>
      </xdr:nvSpPr>
      <xdr:spPr>
        <a:xfrm>
          <a:off x="5238747" y="8346281"/>
          <a:ext cx="2196000" cy="828000"/>
        </a:xfrm>
        <a:prstGeom prst="bevel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bg1"/>
              </a:solidFill>
            </a:rPr>
            <a:t>Bandspritzung</a:t>
          </a:r>
          <a:br>
            <a:rPr lang="de-DE" sz="1600" b="1">
              <a:solidFill>
                <a:schemeClr val="bg1"/>
              </a:solidFill>
            </a:rPr>
          </a:br>
          <a:r>
            <a:rPr lang="de-DE" sz="1600" b="1">
              <a:solidFill>
                <a:schemeClr val="bg1"/>
              </a:solidFill>
            </a:rPr>
            <a:t>- zu den Düsen -</a:t>
          </a:r>
        </a:p>
      </xdr:txBody>
    </xdr:sp>
    <xdr:clientData/>
  </xdr:twoCellAnchor>
  <xdr:twoCellAnchor>
    <xdr:from>
      <xdr:col>7</xdr:col>
      <xdr:colOff>23810</xdr:colOff>
      <xdr:row>31</xdr:row>
      <xdr:rowOff>47625</xdr:rowOff>
    </xdr:from>
    <xdr:to>
      <xdr:col>9</xdr:col>
      <xdr:colOff>695810</xdr:colOff>
      <xdr:row>34</xdr:row>
      <xdr:rowOff>208875</xdr:rowOff>
    </xdr:to>
    <xdr:sp macro="" textlink="">
      <xdr:nvSpPr>
        <xdr:cNvPr id="48" name="Rahmen 47">
          <a:hlinkClick xmlns:r="http://schemas.openxmlformats.org/officeDocument/2006/relationships" r:id="rId32"/>
        </xdr:cNvPr>
        <xdr:cNvSpPr/>
      </xdr:nvSpPr>
      <xdr:spPr>
        <a:xfrm>
          <a:off x="7500935" y="8334375"/>
          <a:ext cx="2196000" cy="828000"/>
        </a:xfrm>
        <a:prstGeom prst="bevel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bg1"/>
              </a:solidFill>
            </a:rPr>
            <a:t>Bandspritzung</a:t>
          </a:r>
          <a:br>
            <a:rPr lang="de-DE" sz="1600" b="1">
              <a:solidFill>
                <a:schemeClr val="bg1"/>
              </a:solidFill>
            </a:rPr>
          </a:br>
          <a:r>
            <a:rPr lang="de-DE" sz="1600" b="1">
              <a:solidFill>
                <a:schemeClr val="bg1"/>
              </a:solidFill>
            </a:rPr>
            <a:t>- zu den Düsen -</a:t>
          </a:r>
        </a:p>
      </xdr:txBody>
    </xdr:sp>
    <xdr:clientData/>
  </xdr:twoCellAnchor>
  <xdr:twoCellAnchor>
    <xdr:from>
      <xdr:col>13</xdr:col>
      <xdr:colOff>67466</xdr:colOff>
      <xdr:row>31</xdr:row>
      <xdr:rowOff>31750</xdr:rowOff>
    </xdr:from>
    <xdr:to>
      <xdr:col>15</xdr:col>
      <xdr:colOff>691841</xdr:colOff>
      <xdr:row>34</xdr:row>
      <xdr:rowOff>193000</xdr:rowOff>
    </xdr:to>
    <xdr:sp macro="" textlink="">
      <xdr:nvSpPr>
        <xdr:cNvPr id="49" name="Rahmen 48">
          <a:hlinkClick xmlns:r="http://schemas.openxmlformats.org/officeDocument/2006/relationships" r:id="rId33"/>
        </xdr:cNvPr>
        <xdr:cNvSpPr/>
      </xdr:nvSpPr>
      <xdr:spPr>
        <a:xfrm>
          <a:off x="12116591" y="8318500"/>
          <a:ext cx="2196000" cy="828000"/>
        </a:xfrm>
        <a:prstGeom prst="bevel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bg1"/>
              </a:solidFill>
            </a:rPr>
            <a:t>Bandspritzung</a:t>
          </a:r>
          <a:br>
            <a:rPr lang="de-DE" sz="1600" b="1">
              <a:solidFill>
                <a:schemeClr val="bg1"/>
              </a:solidFill>
            </a:rPr>
          </a:br>
          <a:r>
            <a:rPr lang="de-DE" sz="1600" b="1">
              <a:solidFill>
                <a:schemeClr val="bg1"/>
              </a:solidFill>
            </a:rPr>
            <a:t>- zu den Düsen -</a:t>
          </a:r>
        </a:p>
      </xdr:txBody>
    </xdr:sp>
    <xdr:clientData/>
  </xdr:twoCellAnchor>
  <xdr:twoCellAnchor>
    <xdr:from>
      <xdr:col>16</xdr:col>
      <xdr:colOff>35716</xdr:colOff>
      <xdr:row>31</xdr:row>
      <xdr:rowOff>11907</xdr:rowOff>
    </xdr:from>
    <xdr:to>
      <xdr:col>18</xdr:col>
      <xdr:colOff>707716</xdr:colOff>
      <xdr:row>34</xdr:row>
      <xdr:rowOff>173157</xdr:rowOff>
    </xdr:to>
    <xdr:sp macro="" textlink="">
      <xdr:nvSpPr>
        <xdr:cNvPr id="50" name="Rahmen 49">
          <a:hlinkClick xmlns:r="http://schemas.openxmlformats.org/officeDocument/2006/relationships" r:id="rId34"/>
        </xdr:cNvPr>
        <xdr:cNvSpPr/>
      </xdr:nvSpPr>
      <xdr:spPr>
        <a:xfrm>
          <a:off x="14418466" y="8298657"/>
          <a:ext cx="2196000" cy="828000"/>
        </a:xfrm>
        <a:prstGeom prst="bevel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bg1"/>
              </a:solidFill>
            </a:rPr>
            <a:t>Bandspritzung</a:t>
          </a:r>
          <a:br>
            <a:rPr lang="de-DE" sz="1600" b="1">
              <a:solidFill>
                <a:schemeClr val="bg1"/>
              </a:solidFill>
            </a:rPr>
          </a:br>
          <a:r>
            <a:rPr lang="de-DE" sz="1600" b="1">
              <a:solidFill>
                <a:schemeClr val="bg1"/>
              </a:solidFill>
            </a:rPr>
            <a:t>- zu den Düsen -</a:t>
          </a:r>
        </a:p>
      </xdr:txBody>
    </xdr:sp>
    <xdr:clientData/>
  </xdr:twoCellAnchor>
  <xdr:twoCellAnchor>
    <xdr:from>
      <xdr:col>10</xdr:col>
      <xdr:colOff>35717</xdr:colOff>
      <xdr:row>26</xdr:row>
      <xdr:rowOff>23812</xdr:rowOff>
    </xdr:from>
    <xdr:to>
      <xdr:col>12</xdr:col>
      <xdr:colOff>707717</xdr:colOff>
      <xdr:row>29</xdr:row>
      <xdr:rowOff>185062</xdr:rowOff>
    </xdr:to>
    <xdr:sp macro="" textlink="">
      <xdr:nvSpPr>
        <xdr:cNvPr id="52" name="Rahmen 51">
          <a:hlinkClick xmlns:r="http://schemas.openxmlformats.org/officeDocument/2006/relationships" r:id="rId35"/>
        </xdr:cNvPr>
        <xdr:cNvSpPr/>
      </xdr:nvSpPr>
      <xdr:spPr>
        <a:xfrm>
          <a:off x="9798842" y="7167562"/>
          <a:ext cx="2196000" cy="828000"/>
        </a:xfrm>
        <a:prstGeom prst="bevel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25 </a:t>
          </a:r>
          <a:r>
            <a:rPr lang="de-DE" sz="1600" b="1" baseline="0">
              <a:solidFill>
                <a:schemeClr val="tx1"/>
              </a:solidFill>
            </a:rPr>
            <a:t> cm Düsenabstand</a:t>
          </a:r>
          <a:br>
            <a:rPr lang="de-DE" sz="1600" b="1" baseline="0">
              <a:solidFill>
                <a:schemeClr val="tx1"/>
              </a:solidFill>
            </a:rPr>
          </a:br>
          <a:r>
            <a:rPr lang="de-DE" sz="1600" b="1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16</xdr:col>
      <xdr:colOff>11905</xdr:colOff>
      <xdr:row>26</xdr:row>
      <xdr:rowOff>0</xdr:rowOff>
    </xdr:from>
    <xdr:to>
      <xdr:col>18</xdr:col>
      <xdr:colOff>683905</xdr:colOff>
      <xdr:row>29</xdr:row>
      <xdr:rowOff>161250</xdr:rowOff>
    </xdr:to>
    <xdr:sp macro="" textlink="">
      <xdr:nvSpPr>
        <xdr:cNvPr id="53" name="Rahmen 52">
          <a:hlinkClick xmlns:r="http://schemas.openxmlformats.org/officeDocument/2006/relationships" r:id="rId36"/>
        </xdr:cNvPr>
        <xdr:cNvSpPr/>
      </xdr:nvSpPr>
      <xdr:spPr>
        <a:xfrm>
          <a:off x="14394655" y="7143750"/>
          <a:ext cx="2196000" cy="828000"/>
        </a:xfrm>
        <a:prstGeom prst="bevel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25 </a:t>
          </a:r>
          <a:r>
            <a:rPr lang="de-DE" sz="1600" b="1" baseline="0">
              <a:solidFill>
                <a:schemeClr val="tx1"/>
              </a:solidFill>
            </a:rPr>
            <a:t> cm Düsenabstand</a:t>
          </a:r>
          <a:br>
            <a:rPr lang="de-DE" sz="1600" b="1" baseline="0">
              <a:solidFill>
                <a:schemeClr val="tx1"/>
              </a:solidFill>
            </a:rPr>
          </a:br>
          <a:r>
            <a:rPr lang="de-DE" sz="1600" b="1">
              <a:solidFill>
                <a:schemeClr val="tx1"/>
              </a:solidFill>
            </a:rPr>
            <a:t>- zu den Düsen -</a:t>
          </a:r>
        </a:p>
      </xdr:txBody>
    </xdr:sp>
    <xdr:clientData/>
  </xdr:twoCellAnchor>
  <xdr:twoCellAnchor>
    <xdr:from>
      <xdr:col>0</xdr:col>
      <xdr:colOff>241300</xdr:colOff>
      <xdr:row>55</xdr:row>
      <xdr:rowOff>215900</xdr:rowOff>
    </xdr:from>
    <xdr:to>
      <xdr:col>0</xdr:col>
      <xdr:colOff>2241550</xdr:colOff>
      <xdr:row>59</xdr:row>
      <xdr:rowOff>223309</xdr:rowOff>
    </xdr:to>
    <xdr:grpSp>
      <xdr:nvGrpSpPr>
        <xdr:cNvPr id="62" name="Gruppieren 61"/>
        <xdr:cNvGrpSpPr/>
      </xdr:nvGrpSpPr>
      <xdr:grpSpPr>
        <a:xfrm>
          <a:off x="241300" y="13652500"/>
          <a:ext cx="2000250" cy="883709"/>
          <a:chOff x="4794249" y="5339291"/>
          <a:chExt cx="1962150" cy="820209"/>
        </a:xfrm>
      </xdr:grpSpPr>
      <xdr:sp macro="" textlink="">
        <xdr:nvSpPr>
          <xdr:cNvPr id="63" name="Abgerundetes Rechteck 62">
            <a:hlinkClick xmlns:r="http://schemas.openxmlformats.org/officeDocument/2006/relationships" r:id="rId37"/>
          </xdr:cNvPr>
          <xdr:cNvSpPr/>
        </xdr:nvSpPr>
        <xdr:spPr>
          <a:xfrm>
            <a:off x="4794249" y="5339291"/>
            <a:ext cx="1962150" cy="820209"/>
          </a:xfrm>
          <a:prstGeom prst="roundRect">
            <a:avLst/>
          </a:prstGeom>
          <a:solidFill>
            <a:srgbClr val="339933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200" b="1"/>
              <a:t>Vorauflauf-Düsen</a:t>
            </a:r>
          </a:p>
        </xdr:txBody>
      </xdr:sp>
      <xdr:pic>
        <xdr:nvPicPr>
          <xdr:cNvPr id="64" name="Grafik 63"/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90170" y="5638184"/>
            <a:ext cx="1393443" cy="457815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23016</xdr:colOff>
      <xdr:row>55</xdr:row>
      <xdr:rowOff>227807</xdr:rowOff>
    </xdr:from>
    <xdr:to>
      <xdr:col>21</xdr:col>
      <xdr:colOff>695016</xdr:colOff>
      <xdr:row>59</xdr:row>
      <xdr:rowOff>150932</xdr:rowOff>
    </xdr:to>
    <xdr:sp macro="" textlink="">
      <xdr:nvSpPr>
        <xdr:cNvPr id="65" name="Rahmen 64">
          <a:hlinkClick xmlns:r="http://schemas.openxmlformats.org/officeDocument/2006/relationships" r:id="rId39"/>
        </xdr:cNvPr>
        <xdr:cNvSpPr/>
      </xdr:nvSpPr>
      <xdr:spPr>
        <a:xfrm>
          <a:off x="16691766" y="13991432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Vorauflaufdüsen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0</xdr:col>
      <xdr:colOff>47625</xdr:colOff>
      <xdr:row>46</xdr:row>
      <xdr:rowOff>15875</xdr:rowOff>
    </xdr:from>
    <xdr:to>
      <xdr:col>0</xdr:col>
      <xdr:colOff>1714500</xdr:colOff>
      <xdr:row>49</xdr:row>
      <xdr:rowOff>226484</xdr:rowOff>
    </xdr:to>
    <xdr:grpSp>
      <xdr:nvGrpSpPr>
        <xdr:cNvPr id="59" name="Gruppieren 58"/>
        <xdr:cNvGrpSpPr/>
      </xdr:nvGrpSpPr>
      <xdr:grpSpPr>
        <a:xfrm>
          <a:off x="47625" y="11471275"/>
          <a:ext cx="1666875" cy="858309"/>
          <a:chOff x="9482666" y="5037667"/>
          <a:chExt cx="1962150" cy="794809"/>
        </a:xfrm>
      </xdr:grpSpPr>
      <xdr:sp macro="" textlink="">
        <xdr:nvSpPr>
          <xdr:cNvPr id="60" name="Abgerundetes Rechteck 59"/>
          <xdr:cNvSpPr/>
        </xdr:nvSpPr>
        <xdr:spPr>
          <a:xfrm>
            <a:off x="9482666" y="5037667"/>
            <a:ext cx="1962150" cy="794809"/>
          </a:xfrm>
          <a:prstGeom prst="roundRect">
            <a:avLst/>
          </a:prstGeom>
          <a:solidFill>
            <a:srgbClr val="339933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200" b="1"/>
              <a:t>keine Injektordüsen</a:t>
            </a:r>
          </a:p>
        </xdr:txBody>
      </xdr:sp>
      <xdr:pic>
        <xdr:nvPicPr>
          <xdr:cNvPr id="61" name="Grafik 60"/>
          <xdr:cNvPicPr>
            <a:picLocks noChangeAspect="1"/>
          </xdr:cNvPicPr>
        </xdr:nvPicPr>
        <xdr:blipFill>
          <a:blip xmlns:r="http://schemas.openxmlformats.org/officeDocument/2006/relationships" r:embed="rId40" cstate="screen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789583" y="5416218"/>
            <a:ext cx="1365249" cy="291195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35716</xdr:colOff>
      <xdr:row>41</xdr:row>
      <xdr:rowOff>24607</xdr:rowOff>
    </xdr:from>
    <xdr:to>
      <xdr:col>18</xdr:col>
      <xdr:colOff>707716</xdr:colOff>
      <xdr:row>44</xdr:row>
      <xdr:rowOff>185857</xdr:rowOff>
    </xdr:to>
    <xdr:sp macro="" textlink="">
      <xdr:nvSpPr>
        <xdr:cNvPr id="66" name="Rahmen 65">
          <a:hlinkClick xmlns:r="http://schemas.openxmlformats.org/officeDocument/2006/relationships" r:id="rId41"/>
        </xdr:cNvPr>
        <xdr:cNvSpPr/>
      </xdr:nvSpPr>
      <xdr:spPr>
        <a:xfrm>
          <a:off x="14418466" y="10597357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Flachstrahldüsen 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19</xdr:col>
      <xdr:colOff>51591</xdr:colOff>
      <xdr:row>41</xdr:row>
      <xdr:rowOff>27782</xdr:rowOff>
    </xdr:from>
    <xdr:to>
      <xdr:col>21</xdr:col>
      <xdr:colOff>723591</xdr:colOff>
      <xdr:row>44</xdr:row>
      <xdr:rowOff>189032</xdr:rowOff>
    </xdr:to>
    <xdr:sp macro="" textlink="">
      <xdr:nvSpPr>
        <xdr:cNvPr id="67" name="Rahmen 66">
          <a:hlinkClick xmlns:r="http://schemas.openxmlformats.org/officeDocument/2006/relationships" r:id="rId42"/>
        </xdr:cNvPr>
        <xdr:cNvSpPr/>
      </xdr:nvSpPr>
      <xdr:spPr>
        <a:xfrm>
          <a:off x="16720341" y="10600532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Flachstrahldüsen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22</xdr:col>
      <xdr:colOff>16666</xdr:colOff>
      <xdr:row>41</xdr:row>
      <xdr:rowOff>24607</xdr:rowOff>
    </xdr:from>
    <xdr:to>
      <xdr:col>24</xdr:col>
      <xdr:colOff>688666</xdr:colOff>
      <xdr:row>44</xdr:row>
      <xdr:rowOff>185857</xdr:rowOff>
    </xdr:to>
    <xdr:sp macro="" textlink="">
      <xdr:nvSpPr>
        <xdr:cNvPr id="68" name="Rahmen 67">
          <a:hlinkClick xmlns:r="http://schemas.openxmlformats.org/officeDocument/2006/relationships" r:id="rId43"/>
        </xdr:cNvPr>
        <xdr:cNvSpPr/>
      </xdr:nvSpPr>
      <xdr:spPr>
        <a:xfrm>
          <a:off x="18971416" y="10597357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Flachstrahldüsen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0</xdr:col>
      <xdr:colOff>206374</xdr:colOff>
      <xdr:row>36</xdr:row>
      <xdr:rowOff>1</xdr:rowOff>
    </xdr:from>
    <xdr:to>
      <xdr:col>0</xdr:col>
      <xdr:colOff>2127249</xdr:colOff>
      <xdr:row>39</xdr:row>
      <xdr:rowOff>222251</xdr:rowOff>
    </xdr:to>
    <xdr:grpSp>
      <xdr:nvGrpSpPr>
        <xdr:cNvPr id="73" name="Gruppieren 72"/>
        <xdr:cNvGrpSpPr/>
      </xdr:nvGrpSpPr>
      <xdr:grpSpPr>
        <a:xfrm>
          <a:off x="206374" y="9245601"/>
          <a:ext cx="1920875" cy="869950"/>
          <a:chOff x="9497481" y="1018115"/>
          <a:chExt cx="1409701" cy="1339850"/>
        </a:xfrm>
      </xdr:grpSpPr>
      <xdr:sp macro="" textlink="">
        <xdr:nvSpPr>
          <xdr:cNvPr id="74" name="Abgerundetes Rechteck 73"/>
          <xdr:cNvSpPr/>
        </xdr:nvSpPr>
        <xdr:spPr>
          <a:xfrm>
            <a:off x="9497481" y="1018115"/>
            <a:ext cx="1409701" cy="1339850"/>
          </a:xfrm>
          <a:prstGeom prst="roundRect">
            <a:avLst/>
          </a:prstGeom>
          <a:solidFill>
            <a:srgbClr val="339933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200" b="1"/>
              <a:t>Randdüsen </a:t>
            </a:r>
          </a:p>
        </xdr:txBody>
      </xdr:sp>
      <xdr:pic>
        <xdr:nvPicPr>
          <xdr:cNvPr id="75" name="Picture 8" descr="N:\_ANWENDUNGSTECHNIK\Bilder\04.Funktionsgruppen der Maschinen\4.10.Düsen, Düsenkörper\4.10.3.Luftansaugdüsen\Lechler\IS\IS Spritzbild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725799" y="1389049"/>
            <a:ext cx="990883" cy="8279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19841</xdr:colOff>
      <xdr:row>36</xdr:row>
      <xdr:rowOff>0</xdr:rowOff>
    </xdr:from>
    <xdr:to>
      <xdr:col>12</xdr:col>
      <xdr:colOff>691841</xdr:colOff>
      <xdr:row>39</xdr:row>
      <xdr:rowOff>161250</xdr:rowOff>
    </xdr:to>
    <xdr:sp macro="" textlink="">
      <xdr:nvSpPr>
        <xdr:cNvPr id="76" name="Rahmen 75">
          <a:hlinkClick xmlns:r="http://schemas.openxmlformats.org/officeDocument/2006/relationships" r:id="rId45"/>
        </xdr:cNvPr>
        <xdr:cNvSpPr/>
      </xdr:nvSpPr>
      <xdr:spPr>
        <a:xfrm>
          <a:off x="9782966" y="9429750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Randdüsen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13</xdr:col>
      <xdr:colOff>51591</xdr:colOff>
      <xdr:row>36</xdr:row>
      <xdr:rowOff>8732</xdr:rowOff>
    </xdr:from>
    <xdr:to>
      <xdr:col>15</xdr:col>
      <xdr:colOff>675966</xdr:colOff>
      <xdr:row>39</xdr:row>
      <xdr:rowOff>169982</xdr:rowOff>
    </xdr:to>
    <xdr:sp macro="" textlink="">
      <xdr:nvSpPr>
        <xdr:cNvPr id="77" name="Rahmen 76">
          <a:hlinkClick xmlns:r="http://schemas.openxmlformats.org/officeDocument/2006/relationships" r:id="rId46"/>
        </xdr:cNvPr>
        <xdr:cNvSpPr/>
      </xdr:nvSpPr>
      <xdr:spPr>
        <a:xfrm>
          <a:off x="12100716" y="9438482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Randdüsen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16</xdr:col>
      <xdr:colOff>35716</xdr:colOff>
      <xdr:row>36</xdr:row>
      <xdr:rowOff>31750</xdr:rowOff>
    </xdr:from>
    <xdr:to>
      <xdr:col>18</xdr:col>
      <xdr:colOff>707716</xdr:colOff>
      <xdr:row>39</xdr:row>
      <xdr:rowOff>193000</xdr:rowOff>
    </xdr:to>
    <xdr:sp macro="" textlink="">
      <xdr:nvSpPr>
        <xdr:cNvPr id="78" name="Rahmen 77">
          <a:hlinkClick xmlns:r="http://schemas.openxmlformats.org/officeDocument/2006/relationships" r:id="rId47"/>
        </xdr:cNvPr>
        <xdr:cNvSpPr/>
      </xdr:nvSpPr>
      <xdr:spPr>
        <a:xfrm>
          <a:off x="14418466" y="9461500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Randdüsen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19</xdr:col>
      <xdr:colOff>19841</xdr:colOff>
      <xdr:row>36</xdr:row>
      <xdr:rowOff>0</xdr:rowOff>
    </xdr:from>
    <xdr:to>
      <xdr:col>21</xdr:col>
      <xdr:colOff>691841</xdr:colOff>
      <xdr:row>39</xdr:row>
      <xdr:rowOff>161250</xdr:rowOff>
    </xdr:to>
    <xdr:sp macro="" textlink="">
      <xdr:nvSpPr>
        <xdr:cNvPr id="79" name="Rahmen 78">
          <a:hlinkClick xmlns:r="http://schemas.openxmlformats.org/officeDocument/2006/relationships" r:id="rId48"/>
        </xdr:cNvPr>
        <xdr:cNvSpPr/>
      </xdr:nvSpPr>
      <xdr:spPr>
        <a:xfrm>
          <a:off x="16688591" y="9429750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Randdüsen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22</xdr:col>
      <xdr:colOff>19841</xdr:colOff>
      <xdr:row>36</xdr:row>
      <xdr:rowOff>0</xdr:rowOff>
    </xdr:from>
    <xdr:to>
      <xdr:col>24</xdr:col>
      <xdr:colOff>691841</xdr:colOff>
      <xdr:row>39</xdr:row>
      <xdr:rowOff>161250</xdr:rowOff>
    </xdr:to>
    <xdr:sp macro="" textlink="">
      <xdr:nvSpPr>
        <xdr:cNvPr id="80" name="Rahmen 79">
          <a:hlinkClick xmlns:r="http://schemas.openxmlformats.org/officeDocument/2006/relationships" r:id="rId49"/>
        </xdr:cNvPr>
        <xdr:cNvSpPr/>
      </xdr:nvSpPr>
      <xdr:spPr>
        <a:xfrm>
          <a:off x="18974591" y="9429750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Randdüsen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22</xdr:col>
      <xdr:colOff>35719</xdr:colOff>
      <xdr:row>21</xdr:row>
      <xdr:rowOff>31751</xdr:rowOff>
    </xdr:from>
    <xdr:to>
      <xdr:col>24</xdr:col>
      <xdr:colOff>707719</xdr:colOff>
      <xdr:row>24</xdr:row>
      <xdr:rowOff>193001</xdr:rowOff>
    </xdr:to>
    <xdr:sp macro="" textlink="">
      <xdr:nvSpPr>
        <xdr:cNvPr id="69" name="Rahmen 68">
          <a:hlinkClick xmlns:r="http://schemas.openxmlformats.org/officeDocument/2006/relationships" r:id="rId50"/>
        </xdr:cNvPr>
        <xdr:cNvSpPr/>
      </xdr:nvSpPr>
      <xdr:spPr>
        <a:xfrm>
          <a:off x="18990469" y="6032501"/>
          <a:ext cx="2196000" cy="828000"/>
        </a:xfrm>
        <a:prstGeom prst="bevel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lange Doppelflachstrahl</a:t>
          </a:r>
          <a:br>
            <a:rPr lang="de-DE" sz="1400"/>
          </a:br>
          <a:r>
            <a:rPr lang="de-DE" sz="1600"/>
            <a:t>- zu den Düsen -</a:t>
          </a:r>
        </a:p>
      </xdr:txBody>
    </xdr:sp>
    <xdr:clientData/>
  </xdr:twoCellAnchor>
  <xdr:twoCellAnchor>
    <xdr:from>
      <xdr:col>0</xdr:col>
      <xdr:colOff>1984375</xdr:colOff>
      <xdr:row>46</xdr:row>
      <xdr:rowOff>31750</xdr:rowOff>
    </xdr:from>
    <xdr:to>
      <xdr:col>0</xdr:col>
      <xdr:colOff>2854788</xdr:colOff>
      <xdr:row>48</xdr:row>
      <xdr:rowOff>199493</xdr:rowOff>
    </xdr:to>
    <xdr:pic>
      <xdr:nvPicPr>
        <xdr:cNvPr id="81" name="Picture 5" descr="IDKT 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84375" y="11938000"/>
          <a:ext cx="870413" cy="612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</xdr:colOff>
      <xdr:row>41</xdr:row>
      <xdr:rowOff>0</xdr:rowOff>
    </xdr:from>
    <xdr:to>
      <xdr:col>0</xdr:col>
      <xdr:colOff>1698625</xdr:colOff>
      <xdr:row>44</xdr:row>
      <xdr:rowOff>210609</xdr:rowOff>
    </xdr:to>
    <xdr:grpSp>
      <xdr:nvGrpSpPr>
        <xdr:cNvPr id="82" name="Gruppieren 81"/>
        <xdr:cNvGrpSpPr/>
      </xdr:nvGrpSpPr>
      <xdr:grpSpPr>
        <a:xfrm>
          <a:off x="31750" y="10350500"/>
          <a:ext cx="1666875" cy="858309"/>
          <a:chOff x="9482666" y="5037667"/>
          <a:chExt cx="1962150" cy="794809"/>
        </a:xfrm>
      </xdr:grpSpPr>
      <xdr:sp macro="" textlink="">
        <xdr:nvSpPr>
          <xdr:cNvPr id="83" name="Abgerundetes Rechteck 82"/>
          <xdr:cNvSpPr/>
        </xdr:nvSpPr>
        <xdr:spPr>
          <a:xfrm>
            <a:off x="9482666" y="5037667"/>
            <a:ext cx="1962150" cy="794809"/>
          </a:xfrm>
          <a:prstGeom prst="roundRect">
            <a:avLst/>
          </a:prstGeom>
          <a:solidFill>
            <a:srgbClr val="339933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200" b="1"/>
              <a:t>keine Injektordüsen</a:t>
            </a:r>
          </a:p>
        </xdr:txBody>
      </xdr:sp>
      <xdr:pic>
        <xdr:nvPicPr>
          <xdr:cNvPr id="84" name="Grafik 83"/>
          <xdr:cNvPicPr>
            <a:picLocks noChangeAspect="1"/>
          </xdr:cNvPicPr>
        </xdr:nvPicPr>
        <xdr:blipFill>
          <a:blip xmlns:r="http://schemas.openxmlformats.org/officeDocument/2006/relationships" r:embed="rId40" cstate="screen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789583" y="5416218"/>
            <a:ext cx="1365249" cy="29119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1986002</xdr:colOff>
      <xdr:row>40</xdr:row>
      <xdr:rowOff>232020</xdr:rowOff>
    </xdr:from>
    <xdr:to>
      <xdr:col>0</xdr:col>
      <xdr:colOff>2862913</xdr:colOff>
      <xdr:row>43</xdr:row>
      <xdr:rowOff>178345</xdr:rowOff>
    </xdr:to>
    <xdr:pic>
      <xdr:nvPicPr>
        <xdr:cNvPr id="85" name="Picture 4" descr="IDK 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86002" y="10757145"/>
          <a:ext cx="876911" cy="62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19841</xdr:colOff>
      <xdr:row>46</xdr:row>
      <xdr:rowOff>24607</xdr:rowOff>
    </xdr:from>
    <xdr:to>
      <xdr:col>18</xdr:col>
      <xdr:colOff>691841</xdr:colOff>
      <xdr:row>49</xdr:row>
      <xdr:rowOff>185857</xdr:rowOff>
    </xdr:to>
    <xdr:sp macro="" textlink="">
      <xdr:nvSpPr>
        <xdr:cNvPr id="86" name="Rahmen 85">
          <a:hlinkClick xmlns:r="http://schemas.openxmlformats.org/officeDocument/2006/relationships" r:id="rId51"/>
        </xdr:cNvPr>
        <xdr:cNvSpPr/>
      </xdr:nvSpPr>
      <xdr:spPr>
        <a:xfrm>
          <a:off x="14402591" y="11740357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</a:rPr>
            <a:t>Doppelflachstrahldüsen </a:t>
          </a:r>
          <a:r>
            <a:rPr lang="de-DE" sz="1600" b="1">
              <a:solidFill>
                <a:sysClr val="windowText" lastClr="000000"/>
              </a:solidFill>
            </a:rPr>
            <a:t/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19</xdr:col>
      <xdr:colOff>51591</xdr:colOff>
      <xdr:row>46</xdr:row>
      <xdr:rowOff>27782</xdr:rowOff>
    </xdr:from>
    <xdr:to>
      <xdr:col>21</xdr:col>
      <xdr:colOff>723591</xdr:colOff>
      <xdr:row>49</xdr:row>
      <xdr:rowOff>189032</xdr:rowOff>
    </xdr:to>
    <xdr:sp macro="" textlink="">
      <xdr:nvSpPr>
        <xdr:cNvPr id="87" name="Rahmen 86">
          <a:hlinkClick xmlns:r="http://schemas.openxmlformats.org/officeDocument/2006/relationships" r:id="rId52"/>
        </xdr:cNvPr>
        <xdr:cNvSpPr/>
      </xdr:nvSpPr>
      <xdr:spPr>
        <a:xfrm>
          <a:off x="16720341" y="11743532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</a:rPr>
            <a:t>Doppelflachstrahldüsen</a:t>
          </a:r>
          <a:r>
            <a:rPr lang="de-DE" sz="1600" b="1">
              <a:solidFill>
                <a:sysClr val="windowText" lastClr="000000"/>
              </a:solidFill>
            </a:rPr>
            <a:t/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22</xdr:col>
      <xdr:colOff>48416</xdr:colOff>
      <xdr:row>46</xdr:row>
      <xdr:rowOff>24607</xdr:rowOff>
    </xdr:from>
    <xdr:to>
      <xdr:col>24</xdr:col>
      <xdr:colOff>720416</xdr:colOff>
      <xdr:row>49</xdr:row>
      <xdr:rowOff>185857</xdr:rowOff>
    </xdr:to>
    <xdr:sp macro="" textlink="">
      <xdr:nvSpPr>
        <xdr:cNvPr id="88" name="Rahmen 87">
          <a:hlinkClick xmlns:r="http://schemas.openxmlformats.org/officeDocument/2006/relationships" r:id="rId53"/>
        </xdr:cNvPr>
        <xdr:cNvSpPr/>
      </xdr:nvSpPr>
      <xdr:spPr>
        <a:xfrm>
          <a:off x="19003166" y="11740357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</a:rPr>
            <a:t>Doppelflachstrahldüsen</a:t>
          </a:r>
          <a:r>
            <a:rPr lang="de-DE" sz="1600" b="1">
              <a:solidFill>
                <a:sysClr val="windowText" lastClr="000000"/>
              </a:solidFill>
            </a:rPr>
            <a:t/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0</xdr:col>
      <xdr:colOff>326573</xdr:colOff>
      <xdr:row>51</xdr:row>
      <xdr:rowOff>27215</xdr:rowOff>
    </xdr:from>
    <xdr:to>
      <xdr:col>0</xdr:col>
      <xdr:colOff>1945823</xdr:colOff>
      <xdr:row>55</xdr:row>
      <xdr:rowOff>27215</xdr:rowOff>
    </xdr:to>
    <xdr:grpSp>
      <xdr:nvGrpSpPr>
        <xdr:cNvPr id="93" name="Gruppieren 92"/>
        <xdr:cNvGrpSpPr/>
      </xdr:nvGrpSpPr>
      <xdr:grpSpPr>
        <a:xfrm>
          <a:off x="326573" y="12587515"/>
          <a:ext cx="1619250" cy="876300"/>
          <a:chOff x="9230782" y="2656416"/>
          <a:chExt cx="1943101" cy="1343025"/>
        </a:xfrm>
      </xdr:grpSpPr>
      <xdr:sp macro="" textlink="">
        <xdr:nvSpPr>
          <xdr:cNvPr id="94" name="Abgerundetes Rechteck 93"/>
          <xdr:cNvSpPr/>
        </xdr:nvSpPr>
        <xdr:spPr>
          <a:xfrm>
            <a:off x="9230782" y="2656416"/>
            <a:ext cx="1943101" cy="1343025"/>
          </a:xfrm>
          <a:prstGeom prst="roundRect">
            <a:avLst/>
          </a:prstGeom>
          <a:solidFill>
            <a:srgbClr val="339933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200" b="1"/>
              <a:t>Mischbestückung </a:t>
            </a:r>
          </a:p>
        </xdr:txBody>
      </xdr:sp>
      <xdr:grpSp>
        <xdr:nvGrpSpPr>
          <xdr:cNvPr id="95" name="Gruppieren 94"/>
          <xdr:cNvGrpSpPr>
            <a:grpSpLocks noChangeAspect="1"/>
          </xdr:cNvGrpSpPr>
        </xdr:nvGrpSpPr>
        <xdr:grpSpPr>
          <a:xfrm>
            <a:off x="9355294" y="3085043"/>
            <a:ext cx="1713814" cy="714374"/>
            <a:chOff x="193675" y="3894138"/>
            <a:chExt cx="4752975" cy="1981200"/>
          </a:xfrm>
        </xdr:grpSpPr>
        <xdr:pic>
          <xdr:nvPicPr>
            <xdr:cNvPr id="96" name="Picture 4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4" cstate="email">
              <a:clrChange>
                <a:clrFrom>
                  <a:srgbClr val="FEFFFF"/>
                </a:clrFrom>
                <a:clrTo>
                  <a:srgbClr val="FE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1613" y="4876800"/>
              <a:ext cx="236537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7" name="Picture 5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5" cstate="email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15913" y="4972050"/>
              <a:ext cx="212725" cy="90011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8" name="Picture 6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92125" y="4876800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9" name="Picture 7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8FFFF"/>
                </a:clrFrom>
                <a:clrTo>
                  <a:srgbClr val="F8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28650" y="4876800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0" name="Picture 8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4" cstate="email">
              <a:clrChange>
                <a:clrFrom>
                  <a:srgbClr val="FFFFFD"/>
                </a:clrFrom>
                <a:clrTo>
                  <a:srgbClr val="FFFFFD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35013" y="4876800"/>
              <a:ext cx="236537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1" name="Picture 9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5" cstate="email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49313" y="4972050"/>
              <a:ext cx="212725" cy="90011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2" name="Picture 10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EFFFF"/>
                </a:clrFrom>
                <a:clrTo>
                  <a:srgbClr val="FE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525" y="4876800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3" name="Picture 11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EFFFF"/>
                </a:clrFrom>
                <a:clrTo>
                  <a:srgbClr val="FE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62050" y="4876800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4" name="Picture 12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4" cstate="email">
              <a:clrChange>
                <a:clrFrom>
                  <a:srgbClr val="FEFFFF"/>
                </a:clrFrom>
                <a:clrTo>
                  <a:srgbClr val="FE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68413" y="4876800"/>
              <a:ext cx="236537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5" name="Picture 13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5" cstate="email">
              <a:clrChange>
                <a:clrFrom>
                  <a:srgbClr val="FEFFFF"/>
                </a:clrFrom>
                <a:clrTo>
                  <a:srgbClr val="FE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382713" y="4972050"/>
              <a:ext cx="212725" cy="90011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6" name="Picture 14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EFFFF"/>
                </a:clrFrom>
                <a:clrTo>
                  <a:srgbClr val="FE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539875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7" name="Picture 15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EFFFF"/>
                </a:clrFrom>
                <a:clrTo>
                  <a:srgbClr val="FE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76400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108" name="Line 16"/>
            <xdr:cNvSpPr>
              <a:spLocks noChangeShapeType="1"/>
            </xdr:cNvSpPr>
          </xdr:nvSpPr>
          <xdr:spPr bwMode="auto">
            <a:xfrm>
              <a:off x="193675" y="5862638"/>
              <a:ext cx="4683125" cy="0"/>
            </a:xfrm>
            <a:prstGeom prst="line">
              <a:avLst/>
            </a:prstGeom>
            <a:noFill/>
            <a:ln w="38100">
              <a:solidFill>
                <a:srgbClr val="9933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pic>
          <xdr:nvPicPr>
            <xdr:cNvPr id="109" name="Picture 17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5" cstate="email">
              <a:clrChange>
                <a:clrFrom>
                  <a:srgbClr val="FCFFFF"/>
                </a:clrFrom>
                <a:clrTo>
                  <a:srgbClr val="FC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33550" y="4943475"/>
              <a:ext cx="212725" cy="90011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0" name="Picture 18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BFFFF"/>
                </a:clrFrom>
                <a:clrTo>
                  <a:srgbClr val="FB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909763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1" name="Picture 19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9FEFF"/>
                </a:clrFrom>
                <a:clrTo>
                  <a:srgbClr val="F9FE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46288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2" name="Picture 20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4" cstate="email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152650" y="4848225"/>
              <a:ext cx="236538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3" name="Picture 21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5" cstate="email">
              <a:clrChange>
                <a:clrFrom>
                  <a:srgbClr val="FFFEFA"/>
                </a:clrFrom>
                <a:clrTo>
                  <a:srgbClr val="FFFEFA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66950" y="4943475"/>
              <a:ext cx="212725" cy="90011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4" name="Picture 22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FF8F8"/>
                </a:clrFrom>
                <a:clrTo>
                  <a:srgbClr val="FFF8F8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443163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5" name="Picture 23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579688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6" name="Picture 24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686050" y="4848225"/>
              <a:ext cx="236538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7" name="Picture 25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CFFFF"/>
                </a:clrFrom>
                <a:clrTo>
                  <a:srgbClr val="FC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976563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8" name="Picture 26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FFFFA"/>
                </a:clrFrom>
                <a:clrTo>
                  <a:srgbClr val="FFFFFA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113088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9" name="Picture 27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4" cstate="email">
              <a:clrChange>
                <a:clrFrom>
                  <a:srgbClr val="FFFEFF"/>
                </a:clrFrom>
                <a:clrTo>
                  <a:srgbClr val="FFFE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01988" y="4848225"/>
              <a:ext cx="236537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0" name="Picture 28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5" cstate="email">
              <a:clrChange>
                <a:clrFrom>
                  <a:srgbClr val="FFFDFF"/>
                </a:clrFrom>
                <a:clrTo>
                  <a:srgbClr val="FFFD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316288" y="4943475"/>
              <a:ext cx="212725" cy="90011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1" name="Picture 29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EFFFF"/>
                </a:clrFrom>
                <a:clrTo>
                  <a:srgbClr val="FE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492500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2" name="Picture 30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BFFFF"/>
                </a:clrFrom>
                <a:clrTo>
                  <a:srgbClr val="FB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629025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3" name="Picture 31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4" cstate="email">
              <a:clrChange>
                <a:clrFrom>
                  <a:srgbClr val="FAF5FC"/>
                </a:clrFrom>
                <a:clrTo>
                  <a:srgbClr val="FAF5FC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735388" y="4848225"/>
              <a:ext cx="236537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4" name="Picture 32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5" cstate="email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49688" y="4943475"/>
              <a:ext cx="212725" cy="90011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5" name="Picture 33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FFFFA"/>
                </a:clrFrom>
                <a:clrTo>
                  <a:srgbClr val="FFFFFA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025900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6" name="Picture 34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EFFFF"/>
                </a:clrFrom>
                <a:clrTo>
                  <a:srgbClr val="FE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162425" y="4848225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7" name="Picture 35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268788" y="4848225"/>
              <a:ext cx="236537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8" name="Picture 36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383088" y="4943475"/>
              <a:ext cx="212725" cy="90011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9" name="Picture 37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40250" y="4819650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30" name="Picture 38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6" cstate="email">
              <a:clrChange>
                <a:clrFrom>
                  <a:srgbClr val="FFFCFF"/>
                </a:clrFrom>
                <a:clrTo>
                  <a:srgbClr val="FFFC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676775" y="4819650"/>
              <a:ext cx="184150" cy="9985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31" name="Picture 39" descr="Image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5" cstate="email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733925" y="4933950"/>
              <a:ext cx="212725" cy="90011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132" name="Rectangle 40"/>
            <xdr:cNvSpPr>
              <a:spLocks noChangeArrowheads="1"/>
            </xdr:cNvSpPr>
          </xdr:nvSpPr>
          <xdr:spPr bwMode="auto">
            <a:xfrm rot="16200000" flipH="1">
              <a:off x="720725" y="4646613"/>
              <a:ext cx="1570037" cy="65088"/>
            </a:xfrm>
            <a:prstGeom prst="rect">
              <a:avLst/>
            </a:prstGeom>
            <a:solidFill>
              <a:srgbClr val="FF0000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33" name="Rectangle 41"/>
            <xdr:cNvSpPr>
              <a:spLocks noChangeArrowheads="1"/>
            </xdr:cNvSpPr>
          </xdr:nvSpPr>
          <xdr:spPr bwMode="auto">
            <a:xfrm rot="16200000" flipH="1">
              <a:off x="842169" y="4736307"/>
              <a:ext cx="1228725" cy="33337"/>
            </a:xfrm>
            <a:prstGeom prst="rect">
              <a:avLst/>
            </a:prstGeom>
            <a:solidFill>
              <a:srgbClr val="4D4D4D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34" name="Rectangle 42"/>
            <xdr:cNvSpPr>
              <a:spLocks noChangeArrowheads="1"/>
            </xdr:cNvSpPr>
          </xdr:nvSpPr>
          <xdr:spPr bwMode="auto">
            <a:xfrm flipH="1">
              <a:off x="1928813" y="4981575"/>
              <a:ext cx="358775" cy="350838"/>
            </a:xfrm>
            <a:prstGeom prst="rect">
              <a:avLst/>
            </a:prstGeom>
            <a:solidFill>
              <a:srgbClr val="FF0000"/>
            </a:solidFill>
            <a:ln w="2857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35" name="Rectangle 43"/>
            <xdr:cNvSpPr>
              <a:spLocks noChangeArrowheads="1"/>
            </xdr:cNvSpPr>
          </xdr:nvSpPr>
          <xdr:spPr bwMode="auto">
            <a:xfrm flipH="1">
              <a:off x="1439863" y="5332413"/>
              <a:ext cx="1044575" cy="34925"/>
            </a:xfrm>
            <a:prstGeom prst="rect">
              <a:avLst/>
            </a:prstGeom>
            <a:solidFill>
              <a:srgbClr val="4D4D4D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36" name="Rectangle 44"/>
            <xdr:cNvSpPr>
              <a:spLocks noChangeArrowheads="1"/>
            </xdr:cNvSpPr>
          </xdr:nvSpPr>
          <xdr:spPr bwMode="auto">
            <a:xfrm flipH="1">
              <a:off x="1733550" y="4068763"/>
              <a:ext cx="228600" cy="34925"/>
            </a:xfrm>
            <a:prstGeom prst="rect">
              <a:avLst/>
            </a:prstGeom>
            <a:solidFill>
              <a:schemeClr val="tx1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37" name="Rectangle 45"/>
            <xdr:cNvSpPr>
              <a:spLocks noChangeArrowheads="1"/>
            </xdr:cNvSpPr>
          </xdr:nvSpPr>
          <xdr:spPr bwMode="auto">
            <a:xfrm flipH="1">
              <a:off x="2060575" y="5367338"/>
              <a:ext cx="96838" cy="34925"/>
            </a:xfrm>
            <a:prstGeom prst="rect">
              <a:avLst/>
            </a:prstGeom>
            <a:solidFill>
              <a:srgbClr val="4D4D4D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38" name="Rectangle 46"/>
            <xdr:cNvSpPr>
              <a:spLocks noChangeArrowheads="1"/>
            </xdr:cNvSpPr>
          </xdr:nvSpPr>
          <xdr:spPr bwMode="auto">
            <a:xfrm flipH="1">
              <a:off x="1538288" y="5402263"/>
              <a:ext cx="619125" cy="34925"/>
            </a:xfrm>
            <a:prstGeom prst="rect">
              <a:avLst/>
            </a:prstGeom>
            <a:solidFill>
              <a:srgbClr val="4D4D4D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39" name="Rectangle 47"/>
            <xdr:cNvSpPr>
              <a:spLocks noChangeArrowheads="1"/>
            </xdr:cNvSpPr>
          </xdr:nvSpPr>
          <xdr:spPr bwMode="auto">
            <a:xfrm flipH="1">
              <a:off x="1439863" y="4846638"/>
              <a:ext cx="65087" cy="36512"/>
            </a:xfrm>
            <a:prstGeom prst="rect">
              <a:avLst/>
            </a:prstGeom>
            <a:solidFill>
              <a:srgbClr val="FF0000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40" name="Rectangle 48"/>
            <xdr:cNvSpPr>
              <a:spLocks noChangeArrowheads="1"/>
            </xdr:cNvSpPr>
          </xdr:nvSpPr>
          <xdr:spPr bwMode="auto">
            <a:xfrm flipH="1">
              <a:off x="1439863" y="5164138"/>
              <a:ext cx="65087" cy="34925"/>
            </a:xfrm>
            <a:prstGeom prst="rect">
              <a:avLst/>
            </a:prstGeom>
            <a:solidFill>
              <a:srgbClr val="FF0000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41" name="Rectangle 49"/>
            <xdr:cNvSpPr>
              <a:spLocks noChangeArrowheads="1"/>
            </xdr:cNvSpPr>
          </xdr:nvSpPr>
          <xdr:spPr bwMode="auto">
            <a:xfrm flipH="1">
              <a:off x="1538288" y="5367338"/>
              <a:ext cx="96837" cy="34925"/>
            </a:xfrm>
            <a:prstGeom prst="rect">
              <a:avLst/>
            </a:prstGeom>
            <a:solidFill>
              <a:srgbClr val="4D4D4D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42" name="Oval 50"/>
            <xdr:cNvSpPr>
              <a:spLocks noChangeArrowheads="1"/>
            </xdr:cNvSpPr>
          </xdr:nvSpPr>
          <xdr:spPr bwMode="auto">
            <a:xfrm>
              <a:off x="1146175" y="4494213"/>
              <a:ext cx="44450" cy="38100"/>
            </a:xfrm>
            <a:prstGeom prst="ellipse">
              <a:avLst/>
            </a:prstGeom>
            <a:solidFill>
              <a:srgbClr val="4D4D4D"/>
            </a:solidFill>
            <a:ln w="19050" algn="ctr">
              <a:solidFill>
                <a:schemeClr val="tx1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grpSp>
          <xdr:nvGrpSpPr>
            <xdr:cNvPr id="143" name="Group 51"/>
            <xdr:cNvGrpSpPr>
              <a:grpSpLocks/>
            </xdr:cNvGrpSpPr>
          </xdr:nvGrpSpPr>
          <xdr:grpSpPr bwMode="auto">
            <a:xfrm>
              <a:off x="1008024" y="4122738"/>
              <a:ext cx="458783" cy="396875"/>
              <a:chOff x="2783" y="1127"/>
              <a:chExt cx="289" cy="250"/>
            </a:xfrm>
          </xdr:grpSpPr>
          <xdr:sp macro="" textlink="">
            <xdr:nvSpPr>
              <xdr:cNvPr id="195" name="Rectangle 52"/>
              <xdr:cNvSpPr>
                <a:spLocks noChangeArrowheads="1"/>
              </xdr:cNvSpPr>
            </xdr:nvSpPr>
            <xdr:spPr bwMode="auto">
              <a:xfrm rot="5400000">
                <a:off x="2933" y="1237"/>
                <a:ext cx="250" cy="29"/>
              </a:xfrm>
              <a:prstGeom prst="rect">
                <a:avLst/>
              </a:prstGeom>
              <a:solidFill>
                <a:srgbClr val="FF0000"/>
              </a:solidFill>
              <a:ln w="3175" algn="ctr">
                <a:solidFill>
                  <a:schemeClr val="tx1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  <xdr:sp macro="" textlink="">
            <xdr:nvSpPr>
              <xdr:cNvPr id="196" name="Rectangle 53"/>
              <xdr:cNvSpPr>
                <a:spLocks noChangeArrowheads="1"/>
              </xdr:cNvSpPr>
            </xdr:nvSpPr>
            <xdr:spPr bwMode="auto">
              <a:xfrm>
                <a:off x="2783" y="1349"/>
                <a:ext cx="260" cy="28"/>
              </a:xfrm>
              <a:prstGeom prst="rect">
                <a:avLst/>
              </a:prstGeom>
              <a:solidFill>
                <a:srgbClr val="FF0000"/>
              </a:solidFill>
              <a:ln w="3175" algn="ctr">
                <a:solidFill>
                  <a:schemeClr val="tx1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</xdr:grpSp>
        <xdr:sp macro="" textlink="">
          <xdr:nvSpPr>
            <xdr:cNvPr id="144" name="Rectangle 54"/>
            <xdr:cNvSpPr>
              <a:spLocks noChangeArrowheads="1"/>
            </xdr:cNvSpPr>
          </xdr:nvSpPr>
          <xdr:spPr bwMode="auto">
            <a:xfrm flipH="1">
              <a:off x="3322638" y="5381625"/>
              <a:ext cx="584200" cy="46038"/>
            </a:xfrm>
            <a:prstGeom prst="rect">
              <a:avLst/>
            </a:prstGeom>
            <a:solidFill>
              <a:schemeClr val="tx1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45" name="Rectangle 55"/>
            <xdr:cNvSpPr>
              <a:spLocks noChangeArrowheads="1"/>
            </xdr:cNvSpPr>
          </xdr:nvSpPr>
          <xdr:spPr bwMode="auto">
            <a:xfrm flipH="1">
              <a:off x="2598738" y="3987800"/>
              <a:ext cx="950912" cy="111125"/>
            </a:xfrm>
            <a:prstGeom prst="rect">
              <a:avLst/>
            </a:prstGeom>
            <a:solidFill>
              <a:srgbClr val="FF0000"/>
            </a:solidFill>
            <a:ln w="2857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46" name="AutoShape 56"/>
            <xdr:cNvSpPr>
              <a:spLocks noChangeArrowheads="1"/>
            </xdr:cNvSpPr>
          </xdr:nvSpPr>
          <xdr:spPr bwMode="auto">
            <a:xfrm rot="5400000" flipH="1">
              <a:off x="4078288" y="4073525"/>
              <a:ext cx="139700" cy="1085850"/>
            </a:xfrm>
            <a:prstGeom prst="rtTriangle">
              <a:avLst/>
            </a:prstGeom>
            <a:solidFill>
              <a:srgbClr val="FF00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47" name="Rectangle 57"/>
            <xdr:cNvSpPr>
              <a:spLocks noChangeArrowheads="1"/>
            </xdr:cNvSpPr>
          </xdr:nvSpPr>
          <xdr:spPr bwMode="auto">
            <a:xfrm flipH="1">
              <a:off x="3197225" y="5062538"/>
              <a:ext cx="842963" cy="306387"/>
            </a:xfrm>
            <a:prstGeom prst="rect">
              <a:avLst/>
            </a:prstGeom>
            <a:solidFill>
              <a:srgbClr val="29292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48" name="Rectangle 58"/>
            <xdr:cNvSpPr>
              <a:spLocks noChangeArrowheads="1"/>
            </xdr:cNvSpPr>
          </xdr:nvSpPr>
          <xdr:spPr bwMode="auto">
            <a:xfrm flipH="1">
              <a:off x="3605213" y="4686300"/>
              <a:ext cx="1085850" cy="390525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49" name="Rectangle 59"/>
            <xdr:cNvSpPr>
              <a:spLocks noChangeArrowheads="1"/>
            </xdr:cNvSpPr>
          </xdr:nvSpPr>
          <xdr:spPr bwMode="auto">
            <a:xfrm flipH="1">
              <a:off x="4583113" y="4881563"/>
              <a:ext cx="109537" cy="111125"/>
            </a:xfrm>
            <a:prstGeom prst="rect">
              <a:avLst/>
            </a:prstGeom>
            <a:solidFill>
              <a:schemeClr val="bg1"/>
            </a:solidFill>
            <a:ln w="2857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grpSp>
          <xdr:nvGrpSpPr>
            <xdr:cNvPr id="150" name="Group 60"/>
            <xdr:cNvGrpSpPr>
              <a:grpSpLocks/>
            </xdr:cNvGrpSpPr>
          </xdr:nvGrpSpPr>
          <xdr:grpSpPr bwMode="auto">
            <a:xfrm flipH="1">
              <a:off x="2598738" y="4098925"/>
              <a:ext cx="1006475" cy="977901"/>
              <a:chOff x="2517" y="845"/>
              <a:chExt cx="1678" cy="1496"/>
            </a:xfrm>
          </xdr:grpSpPr>
          <xdr:sp macro="" textlink="">
            <xdr:nvSpPr>
              <xdr:cNvPr id="192" name="AutoShape 61"/>
              <xdr:cNvSpPr>
                <a:spLocks noChangeArrowheads="1"/>
              </xdr:cNvSpPr>
            </xdr:nvSpPr>
            <xdr:spPr bwMode="auto">
              <a:xfrm rot="10800000">
                <a:off x="2517" y="845"/>
                <a:ext cx="1678" cy="771"/>
              </a:xfrm>
              <a:custGeom>
                <a:avLst/>
                <a:gdLst>
                  <a:gd name="G0" fmla="+- 1428 0 0"/>
                  <a:gd name="G1" fmla="+- 21600 0 1428"/>
                  <a:gd name="G2" fmla="*/ 1428 1 2"/>
                  <a:gd name="G3" fmla="+- 21600 0 G2"/>
                  <a:gd name="G4" fmla="+/ 1428 21600 2"/>
                  <a:gd name="G5" fmla="+/ G1 0 2"/>
                  <a:gd name="G6" fmla="*/ 21600 21600 1428"/>
                  <a:gd name="G7" fmla="*/ G6 1 2"/>
                  <a:gd name="G8" fmla="+- 21600 0 G7"/>
                  <a:gd name="G9" fmla="*/ 21600 1 2"/>
                  <a:gd name="G10" fmla="+- 1428 0 G9"/>
                  <a:gd name="G11" fmla="?: G10 G8 0"/>
                  <a:gd name="G12" fmla="?: G10 G7 21600"/>
                  <a:gd name="T0" fmla="*/ 20886 w 21600"/>
                  <a:gd name="T1" fmla="*/ 10800 h 21600"/>
                  <a:gd name="T2" fmla="*/ 10800 w 21600"/>
                  <a:gd name="T3" fmla="*/ 21600 h 21600"/>
                  <a:gd name="T4" fmla="*/ 714 w 21600"/>
                  <a:gd name="T5" fmla="*/ 10800 h 21600"/>
                  <a:gd name="T6" fmla="*/ 10800 w 21600"/>
                  <a:gd name="T7" fmla="*/ 0 h 21600"/>
                  <a:gd name="T8" fmla="*/ 2514 w 21600"/>
                  <a:gd name="T9" fmla="*/ 2514 h 21600"/>
                  <a:gd name="T10" fmla="*/ 19086 w 21600"/>
                  <a:gd name="T11" fmla="*/ 19086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</a:cxnLst>
                <a:rect l="T8" t="T9" r="T10" b="T11"/>
                <a:pathLst>
                  <a:path w="21600" h="21600">
                    <a:moveTo>
                      <a:pt x="0" y="0"/>
                    </a:moveTo>
                    <a:lnTo>
                      <a:pt x="1428" y="21600"/>
                    </a:lnTo>
                    <a:lnTo>
                      <a:pt x="20172" y="21600"/>
                    </a:lnTo>
                    <a:lnTo>
                      <a:pt x="21600" y="0"/>
                    </a:lnTo>
                    <a:close/>
                  </a:path>
                </a:pathLst>
              </a:custGeom>
              <a:gradFill rotWithShape="1">
                <a:gsLst>
                  <a:gs pos="0">
                    <a:schemeClr val="accent1"/>
                  </a:gs>
                  <a:gs pos="100000">
                    <a:srgbClr val="FFFFFF"/>
                  </a:gs>
                </a:gsLst>
                <a:lin ang="18900000" scaled="1"/>
              </a:gra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chemeClr val="tx1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  <xdr:sp macro="" textlink="">
            <xdr:nvSpPr>
              <xdr:cNvPr id="193" name="Rectangle 62"/>
              <xdr:cNvSpPr>
                <a:spLocks noChangeArrowheads="1"/>
              </xdr:cNvSpPr>
            </xdr:nvSpPr>
            <xdr:spPr bwMode="auto">
              <a:xfrm>
                <a:off x="2517" y="1616"/>
                <a:ext cx="363" cy="725"/>
              </a:xfrm>
              <a:prstGeom prst="rect">
                <a:avLst/>
              </a:prstGeom>
              <a:gradFill rotWithShape="1">
                <a:gsLst>
                  <a:gs pos="0">
                    <a:schemeClr val="accent1"/>
                  </a:gs>
                  <a:gs pos="100000">
                    <a:srgbClr val="FFFFFF"/>
                  </a:gs>
                </a:gsLst>
                <a:lin ang="18900000" scaled="1"/>
              </a:gra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chemeClr val="tx1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  <xdr:sp macro="" textlink="">
            <xdr:nvSpPr>
              <xdr:cNvPr id="194" name="AutoShape 63"/>
              <xdr:cNvSpPr>
                <a:spLocks noChangeArrowheads="1"/>
              </xdr:cNvSpPr>
            </xdr:nvSpPr>
            <xdr:spPr bwMode="auto">
              <a:xfrm rot="5400000">
                <a:off x="2744" y="1752"/>
                <a:ext cx="725" cy="454"/>
              </a:xfrm>
              <a:prstGeom prst="rtTriangle">
                <a:avLst/>
              </a:prstGeom>
              <a:gradFill rotWithShape="1">
                <a:gsLst>
                  <a:gs pos="0">
                    <a:schemeClr val="bg1"/>
                  </a:gs>
                  <a:gs pos="100000">
                    <a:schemeClr val="accent1"/>
                  </a:gs>
                </a:gsLst>
                <a:lin ang="18900000" scaled="1"/>
              </a:gra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chemeClr val="tx1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</xdr:grpSp>
        <xdr:sp macro="" textlink="">
          <xdr:nvSpPr>
            <xdr:cNvPr id="151" name="Rectangle 64"/>
            <xdr:cNvSpPr>
              <a:spLocks noChangeArrowheads="1"/>
            </xdr:cNvSpPr>
          </xdr:nvSpPr>
          <xdr:spPr bwMode="auto">
            <a:xfrm flipH="1">
              <a:off x="2354263" y="4575175"/>
              <a:ext cx="842962" cy="138113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52" name="AutoShape 65"/>
            <xdr:cNvSpPr>
              <a:spLocks noChangeArrowheads="1"/>
            </xdr:cNvSpPr>
          </xdr:nvSpPr>
          <xdr:spPr bwMode="auto">
            <a:xfrm rot="817032" flipH="1">
              <a:off x="2217738" y="4629150"/>
              <a:ext cx="1114425" cy="1062038"/>
            </a:xfrm>
            <a:custGeom>
              <a:avLst/>
              <a:gdLst>
                <a:gd name="G0" fmla="+- 8314 0 0"/>
                <a:gd name="G1" fmla="+- -10535911 0 0"/>
                <a:gd name="G2" fmla="+- 0 0 -10535911"/>
                <a:gd name="T0" fmla="*/ 0 256 1"/>
                <a:gd name="T1" fmla="*/ 180 256 1"/>
                <a:gd name="G3" fmla="+- -10535911 T0 T1"/>
                <a:gd name="T2" fmla="*/ 0 256 1"/>
                <a:gd name="T3" fmla="*/ 90 256 1"/>
                <a:gd name="G4" fmla="+- -10535911 T2 T3"/>
                <a:gd name="G5" fmla="*/ G4 2 1"/>
                <a:gd name="T4" fmla="*/ 90 256 1"/>
                <a:gd name="T5" fmla="*/ 0 256 1"/>
                <a:gd name="G6" fmla="+- -10535911 T4 T5"/>
                <a:gd name="G7" fmla="*/ G6 2 1"/>
                <a:gd name="G8" fmla="abs -10535911"/>
                <a:gd name="T6" fmla="*/ 0 256 1"/>
                <a:gd name="T7" fmla="*/ 90 256 1"/>
                <a:gd name="G9" fmla="+- G8 T6 T7"/>
                <a:gd name="G10" fmla="?: G9 G7 G5"/>
                <a:gd name="T8" fmla="*/ 0 256 1"/>
                <a:gd name="T9" fmla="*/ 360 256 1"/>
                <a:gd name="G11" fmla="+- G10 T8 T9"/>
                <a:gd name="G12" fmla="?: G10 G11 G10"/>
                <a:gd name="T10" fmla="*/ 0 256 1"/>
                <a:gd name="T11" fmla="*/ 360 256 1"/>
                <a:gd name="G13" fmla="+- G12 T10 T11"/>
                <a:gd name="G14" fmla="?: G12 G13 G12"/>
                <a:gd name="G15" fmla="+- 0 0 G14"/>
                <a:gd name="G16" fmla="+- 10800 0 0"/>
                <a:gd name="G17" fmla="+- 10800 0 8314"/>
                <a:gd name="G18" fmla="*/ 8314 1 2"/>
                <a:gd name="G19" fmla="+- G18 5400 0"/>
                <a:gd name="G20" fmla="cos G19 -10535911"/>
                <a:gd name="G21" fmla="sin G19 -10535911"/>
                <a:gd name="G22" fmla="+- G20 10800 0"/>
                <a:gd name="G23" fmla="+- G21 10800 0"/>
                <a:gd name="G24" fmla="+- 10800 0 G20"/>
                <a:gd name="G25" fmla="+- 8314 10800 0"/>
                <a:gd name="G26" fmla="?: G9 G17 G25"/>
                <a:gd name="G27" fmla="?: G9 0 21600"/>
                <a:gd name="G28" fmla="cos 10800 -10535911"/>
                <a:gd name="G29" fmla="sin 10800 -10535911"/>
                <a:gd name="G30" fmla="sin 8314 -10535911"/>
                <a:gd name="G31" fmla="+- G28 10800 0"/>
                <a:gd name="G32" fmla="+- G29 10800 0"/>
                <a:gd name="G33" fmla="+- G30 10800 0"/>
                <a:gd name="G34" fmla="?: G4 0 G31"/>
                <a:gd name="G35" fmla="?: -10535911 G34 0"/>
                <a:gd name="G36" fmla="?: G6 G35 G31"/>
                <a:gd name="G37" fmla="+- 21600 0 G36"/>
                <a:gd name="G38" fmla="?: G4 0 G33"/>
                <a:gd name="G39" fmla="?: -10535911 G38 G32"/>
                <a:gd name="G40" fmla="?: G6 G39 0"/>
                <a:gd name="G41" fmla="?: G4 G32 21600"/>
                <a:gd name="G42" fmla="?: G6 G41 G33"/>
                <a:gd name="T12" fmla="*/ 10800 w 21600"/>
                <a:gd name="T13" fmla="*/ 0 h 21600"/>
                <a:gd name="T14" fmla="*/ 1776 w 21600"/>
                <a:gd name="T15" fmla="*/ 7651 h 21600"/>
                <a:gd name="T16" fmla="*/ 10800 w 21600"/>
                <a:gd name="T17" fmla="*/ 2486 h 21600"/>
                <a:gd name="T18" fmla="*/ 19824 w 21600"/>
                <a:gd name="T19" fmla="*/ 7651 h 21600"/>
                <a:gd name="T20" fmla="*/ G36 w 21600"/>
                <a:gd name="T21" fmla="*/ G40 h 21600"/>
                <a:gd name="T22" fmla="*/ G37 w 21600"/>
                <a:gd name="T23" fmla="*/ G42 h 21600"/>
              </a:gdLst>
              <a:ahLst/>
              <a:cxnLst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</a:cxnLst>
              <a:rect l="T20" t="T21" r="T22" b="T23"/>
              <a:pathLst>
                <a:path w="21600" h="21600">
                  <a:moveTo>
                    <a:pt x="2950" y="8061"/>
                  </a:moveTo>
                  <a:cubicBezTo>
                    <a:pt x="4114" y="4722"/>
                    <a:pt x="7264" y="2485"/>
                    <a:pt x="10800" y="2486"/>
                  </a:cubicBezTo>
                  <a:cubicBezTo>
                    <a:pt x="14335" y="2486"/>
                    <a:pt x="17485" y="4722"/>
                    <a:pt x="18649" y="8061"/>
                  </a:cubicBezTo>
                  <a:lnTo>
                    <a:pt x="20997" y="7242"/>
                  </a:lnTo>
                  <a:cubicBezTo>
                    <a:pt x="19483" y="2905"/>
                    <a:pt x="15393" y="-1"/>
                    <a:pt x="10799" y="0"/>
                  </a:cubicBezTo>
                  <a:cubicBezTo>
                    <a:pt x="6206" y="0"/>
                    <a:pt x="2116" y="2905"/>
                    <a:pt x="602" y="7242"/>
                  </a:cubicBezTo>
                  <a:close/>
                </a:path>
              </a:pathLst>
            </a:custGeom>
            <a:solidFill>
              <a:srgbClr val="29292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grpSp>
          <xdr:nvGrpSpPr>
            <xdr:cNvPr id="153" name="Group 66"/>
            <xdr:cNvGrpSpPr>
              <a:grpSpLocks/>
            </xdr:cNvGrpSpPr>
          </xdr:nvGrpSpPr>
          <xdr:grpSpPr bwMode="auto">
            <a:xfrm flipH="1">
              <a:off x="2219325" y="4741863"/>
              <a:ext cx="1058863" cy="1117600"/>
              <a:chOff x="476" y="2341"/>
              <a:chExt cx="1270" cy="1316"/>
            </a:xfrm>
          </xdr:grpSpPr>
          <xdr:sp macro="" textlink="">
            <xdr:nvSpPr>
              <xdr:cNvPr id="190" name="Oval 67"/>
              <xdr:cNvSpPr>
                <a:spLocks noChangeArrowheads="1"/>
              </xdr:cNvSpPr>
            </xdr:nvSpPr>
            <xdr:spPr bwMode="auto">
              <a:xfrm>
                <a:off x="476" y="2341"/>
                <a:ext cx="1270" cy="1316"/>
              </a:xfrm>
              <a:prstGeom prst="ellipse">
                <a:avLst/>
              </a:prstGeom>
              <a:gradFill rotWithShape="1">
                <a:gsLst>
                  <a:gs pos="0">
                    <a:schemeClr val="bg2"/>
                  </a:gs>
                  <a:gs pos="100000">
                    <a:schemeClr val="bg2">
                      <a:gamma/>
                      <a:shade val="46275"/>
                      <a:invGamma/>
                    </a:schemeClr>
                  </a:gs>
                </a:gsLst>
                <a:path path="shape">
                  <a:fillToRect l="50000" t="50000" r="50000" b="50000"/>
                </a:path>
              </a:gradFill>
              <a:ln w="38100">
                <a:solidFill>
                  <a:schemeClr val="tx1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  <xdr:sp macro="" textlink="">
            <xdr:nvSpPr>
              <xdr:cNvPr id="191" name="Oval 68"/>
              <xdr:cNvSpPr>
                <a:spLocks noChangeArrowheads="1"/>
              </xdr:cNvSpPr>
            </xdr:nvSpPr>
            <xdr:spPr bwMode="auto">
              <a:xfrm>
                <a:off x="793" y="2659"/>
                <a:ext cx="636" cy="680"/>
              </a:xfrm>
              <a:prstGeom prst="ellipse">
                <a:avLst/>
              </a:prstGeom>
              <a:solidFill>
                <a:schemeClr val="bg1"/>
              </a:solidFill>
              <a:ln w="38100">
                <a:solidFill>
                  <a:schemeClr val="tx1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</xdr:grpSp>
        <xdr:grpSp>
          <xdr:nvGrpSpPr>
            <xdr:cNvPr id="154" name="Group 70"/>
            <xdr:cNvGrpSpPr>
              <a:grpSpLocks/>
            </xdr:cNvGrpSpPr>
          </xdr:nvGrpSpPr>
          <xdr:grpSpPr bwMode="auto">
            <a:xfrm flipH="1">
              <a:off x="4040188" y="4992688"/>
              <a:ext cx="787400" cy="838200"/>
              <a:chOff x="476" y="2341"/>
              <a:chExt cx="1270" cy="1316"/>
            </a:xfrm>
          </xdr:grpSpPr>
          <xdr:sp macro="" textlink="">
            <xdr:nvSpPr>
              <xdr:cNvPr id="188" name="Oval 71"/>
              <xdr:cNvSpPr>
                <a:spLocks noChangeArrowheads="1"/>
              </xdr:cNvSpPr>
            </xdr:nvSpPr>
            <xdr:spPr bwMode="auto">
              <a:xfrm>
                <a:off x="476" y="2341"/>
                <a:ext cx="1270" cy="1316"/>
              </a:xfrm>
              <a:prstGeom prst="ellipse">
                <a:avLst/>
              </a:prstGeom>
              <a:gradFill rotWithShape="1">
                <a:gsLst>
                  <a:gs pos="0">
                    <a:schemeClr val="bg2"/>
                  </a:gs>
                  <a:gs pos="100000">
                    <a:schemeClr val="bg2">
                      <a:gamma/>
                      <a:shade val="46275"/>
                      <a:invGamma/>
                    </a:schemeClr>
                  </a:gs>
                </a:gsLst>
                <a:path path="shape">
                  <a:fillToRect l="50000" t="50000" r="50000" b="50000"/>
                </a:path>
              </a:gradFill>
              <a:ln w="38100">
                <a:solidFill>
                  <a:schemeClr val="tx1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  <xdr:sp macro="" textlink="">
            <xdr:nvSpPr>
              <xdr:cNvPr id="189" name="Oval 72"/>
              <xdr:cNvSpPr>
                <a:spLocks noChangeArrowheads="1"/>
              </xdr:cNvSpPr>
            </xdr:nvSpPr>
            <xdr:spPr bwMode="auto">
              <a:xfrm>
                <a:off x="793" y="2659"/>
                <a:ext cx="636" cy="680"/>
              </a:xfrm>
              <a:prstGeom prst="ellipse">
                <a:avLst/>
              </a:prstGeom>
              <a:solidFill>
                <a:schemeClr val="bg1"/>
              </a:solidFill>
              <a:ln w="38100">
                <a:solidFill>
                  <a:schemeClr val="tx1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</xdr:grpSp>
        <xdr:sp macro="" textlink="">
          <xdr:nvSpPr>
            <xdr:cNvPr id="155" name="Line 73"/>
            <xdr:cNvSpPr>
              <a:spLocks noChangeShapeType="1"/>
            </xdr:cNvSpPr>
          </xdr:nvSpPr>
          <xdr:spPr bwMode="auto">
            <a:xfrm flipH="1" flipV="1">
              <a:off x="4699000" y="4695825"/>
              <a:ext cx="0" cy="392113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56" name="Line 74"/>
            <xdr:cNvSpPr>
              <a:spLocks noChangeShapeType="1"/>
            </xdr:cNvSpPr>
          </xdr:nvSpPr>
          <xdr:spPr bwMode="auto">
            <a:xfrm flipH="1" flipV="1">
              <a:off x="3613150" y="4556125"/>
              <a:ext cx="1085850" cy="139700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57" name="Line 75"/>
            <xdr:cNvSpPr>
              <a:spLocks noChangeShapeType="1"/>
            </xdr:cNvSpPr>
          </xdr:nvSpPr>
          <xdr:spPr bwMode="auto">
            <a:xfrm flipH="1" flipV="1">
              <a:off x="3530600" y="4110038"/>
              <a:ext cx="82550" cy="446087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58" name="Line 76"/>
            <xdr:cNvSpPr>
              <a:spLocks noChangeShapeType="1"/>
            </xdr:cNvSpPr>
          </xdr:nvSpPr>
          <xdr:spPr bwMode="auto">
            <a:xfrm flipV="1">
              <a:off x="2606675" y="4110038"/>
              <a:ext cx="53975" cy="446087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59" name="Rectangle 77"/>
            <xdr:cNvSpPr>
              <a:spLocks noChangeArrowheads="1"/>
            </xdr:cNvSpPr>
          </xdr:nvSpPr>
          <xdr:spPr bwMode="auto">
            <a:xfrm flipH="1">
              <a:off x="2979738" y="4043363"/>
              <a:ext cx="53975" cy="585787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60" name="AutoShape 78"/>
            <xdr:cNvSpPr>
              <a:spLocks noChangeArrowheads="1"/>
            </xdr:cNvSpPr>
          </xdr:nvSpPr>
          <xdr:spPr bwMode="auto">
            <a:xfrm rot="401188" flipH="1">
              <a:off x="2109788" y="4546600"/>
              <a:ext cx="1304925" cy="1257300"/>
            </a:xfrm>
            <a:custGeom>
              <a:avLst/>
              <a:gdLst>
                <a:gd name="G0" fmla="+- 8845 0 0"/>
                <a:gd name="G1" fmla="+- -10852716 0 0"/>
                <a:gd name="G2" fmla="+- 0 0 -10852716"/>
                <a:gd name="T0" fmla="*/ 0 256 1"/>
                <a:gd name="T1" fmla="*/ 180 256 1"/>
                <a:gd name="G3" fmla="+- -10852716 T0 T1"/>
                <a:gd name="T2" fmla="*/ 0 256 1"/>
                <a:gd name="T3" fmla="*/ 90 256 1"/>
                <a:gd name="G4" fmla="+- -10852716 T2 T3"/>
                <a:gd name="G5" fmla="*/ G4 2 1"/>
                <a:gd name="T4" fmla="*/ 90 256 1"/>
                <a:gd name="T5" fmla="*/ 0 256 1"/>
                <a:gd name="G6" fmla="+- -10852716 T4 T5"/>
                <a:gd name="G7" fmla="*/ G6 2 1"/>
                <a:gd name="G8" fmla="abs -10852716"/>
                <a:gd name="T6" fmla="*/ 0 256 1"/>
                <a:gd name="T7" fmla="*/ 90 256 1"/>
                <a:gd name="G9" fmla="+- G8 T6 T7"/>
                <a:gd name="G10" fmla="?: G9 G7 G5"/>
                <a:gd name="T8" fmla="*/ 0 256 1"/>
                <a:gd name="T9" fmla="*/ 360 256 1"/>
                <a:gd name="G11" fmla="+- G10 T8 T9"/>
                <a:gd name="G12" fmla="?: G10 G11 G10"/>
                <a:gd name="T10" fmla="*/ 0 256 1"/>
                <a:gd name="T11" fmla="*/ 360 256 1"/>
                <a:gd name="G13" fmla="+- G12 T10 T11"/>
                <a:gd name="G14" fmla="?: G12 G13 G12"/>
                <a:gd name="G15" fmla="+- 0 0 G14"/>
                <a:gd name="G16" fmla="+- 10800 0 0"/>
                <a:gd name="G17" fmla="+- 10800 0 8845"/>
                <a:gd name="G18" fmla="*/ 8845 1 2"/>
                <a:gd name="G19" fmla="+- G18 5400 0"/>
                <a:gd name="G20" fmla="cos G19 -10852716"/>
                <a:gd name="G21" fmla="sin G19 -10852716"/>
                <a:gd name="G22" fmla="+- G20 10800 0"/>
                <a:gd name="G23" fmla="+- G21 10800 0"/>
                <a:gd name="G24" fmla="+- 10800 0 G20"/>
                <a:gd name="G25" fmla="+- 8845 10800 0"/>
                <a:gd name="G26" fmla="?: G9 G17 G25"/>
                <a:gd name="G27" fmla="?: G9 0 21600"/>
                <a:gd name="G28" fmla="cos 10800 -10852716"/>
                <a:gd name="G29" fmla="sin 10800 -10852716"/>
                <a:gd name="G30" fmla="sin 8845 -10852716"/>
                <a:gd name="G31" fmla="+- G28 10800 0"/>
                <a:gd name="G32" fmla="+- G29 10800 0"/>
                <a:gd name="G33" fmla="+- G30 10800 0"/>
                <a:gd name="G34" fmla="?: G4 0 G31"/>
                <a:gd name="G35" fmla="?: -10852716 G34 0"/>
                <a:gd name="G36" fmla="?: G6 G35 G31"/>
                <a:gd name="G37" fmla="+- 21600 0 G36"/>
                <a:gd name="G38" fmla="?: G4 0 G33"/>
                <a:gd name="G39" fmla="?: -10852716 G38 G32"/>
                <a:gd name="G40" fmla="?: G6 G39 0"/>
                <a:gd name="G41" fmla="?: G4 G32 21600"/>
                <a:gd name="G42" fmla="?: G6 G41 G33"/>
                <a:gd name="T12" fmla="*/ 10800 w 21600"/>
                <a:gd name="T13" fmla="*/ 0 h 21600"/>
                <a:gd name="T14" fmla="*/ 1285 w 21600"/>
                <a:gd name="T15" fmla="*/ 8357 h 21600"/>
                <a:gd name="T16" fmla="*/ 10800 w 21600"/>
                <a:gd name="T17" fmla="*/ 1955 h 21600"/>
                <a:gd name="T18" fmla="*/ 20315 w 21600"/>
                <a:gd name="T19" fmla="*/ 8357 h 21600"/>
                <a:gd name="T20" fmla="*/ G36 w 21600"/>
                <a:gd name="T21" fmla="*/ G40 h 21600"/>
                <a:gd name="T22" fmla="*/ G37 w 21600"/>
                <a:gd name="T23" fmla="*/ G42 h 21600"/>
              </a:gdLst>
              <a:ahLst/>
              <a:cxnLst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</a:cxnLst>
              <a:rect l="T20" t="T21" r="T22" b="T23"/>
              <a:pathLst>
                <a:path w="21600" h="21600">
                  <a:moveTo>
                    <a:pt x="2232" y="8600"/>
                  </a:moveTo>
                  <a:cubicBezTo>
                    <a:pt x="3237" y="4689"/>
                    <a:pt x="6762" y="1954"/>
                    <a:pt x="10800" y="1955"/>
                  </a:cubicBezTo>
                  <a:cubicBezTo>
                    <a:pt x="14837" y="1955"/>
                    <a:pt x="18362" y="4689"/>
                    <a:pt x="19367" y="8600"/>
                  </a:cubicBezTo>
                  <a:lnTo>
                    <a:pt x="21260" y="8114"/>
                  </a:lnTo>
                  <a:cubicBezTo>
                    <a:pt x="20034" y="3338"/>
                    <a:pt x="15730" y="-1"/>
                    <a:pt x="10799" y="0"/>
                  </a:cubicBezTo>
                  <a:cubicBezTo>
                    <a:pt x="5869" y="0"/>
                    <a:pt x="1565" y="3338"/>
                    <a:pt x="339" y="8114"/>
                  </a:cubicBezTo>
                  <a:close/>
                </a:path>
              </a:pathLst>
            </a:custGeom>
            <a:solidFill>
              <a:srgbClr val="FF0000"/>
            </a:solidFill>
            <a:ln w="2857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61" name="Line 79"/>
            <xdr:cNvSpPr>
              <a:spLocks noChangeShapeType="1"/>
            </xdr:cNvSpPr>
          </xdr:nvSpPr>
          <xdr:spPr bwMode="auto">
            <a:xfrm flipH="1" flipV="1">
              <a:off x="2362200" y="4584700"/>
              <a:ext cx="163513" cy="0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62" name="Line 80"/>
            <xdr:cNvSpPr>
              <a:spLocks noChangeShapeType="1"/>
            </xdr:cNvSpPr>
          </xdr:nvSpPr>
          <xdr:spPr bwMode="auto">
            <a:xfrm flipH="1" flipV="1">
              <a:off x="2362200" y="4584700"/>
              <a:ext cx="0" cy="84138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63" name="Line 81"/>
            <xdr:cNvSpPr>
              <a:spLocks noChangeShapeType="1"/>
            </xdr:cNvSpPr>
          </xdr:nvSpPr>
          <xdr:spPr bwMode="auto">
            <a:xfrm flipH="1" flipV="1">
              <a:off x="3286125" y="5367338"/>
              <a:ext cx="762000" cy="0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grpSp>
          <xdr:nvGrpSpPr>
            <xdr:cNvPr id="164" name="Group 83"/>
            <xdr:cNvGrpSpPr>
              <a:grpSpLocks/>
            </xdr:cNvGrpSpPr>
          </xdr:nvGrpSpPr>
          <xdr:grpSpPr bwMode="auto">
            <a:xfrm flipH="1">
              <a:off x="3414713" y="5076805"/>
              <a:ext cx="244475" cy="488943"/>
              <a:chOff x="2472" y="2363"/>
              <a:chExt cx="408" cy="795"/>
            </a:xfrm>
          </xdr:grpSpPr>
          <xdr:sp macro="" textlink="">
            <xdr:nvSpPr>
              <xdr:cNvPr id="183" name="Rectangle 84"/>
              <xdr:cNvSpPr>
                <a:spLocks noChangeArrowheads="1"/>
              </xdr:cNvSpPr>
            </xdr:nvSpPr>
            <xdr:spPr bwMode="auto">
              <a:xfrm>
                <a:off x="2517" y="2523"/>
                <a:ext cx="363" cy="45"/>
              </a:xfrm>
              <a:prstGeom prst="rect">
                <a:avLst/>
              </a:prstGeom>
              <a:solidFill>
                <a:srgbClr val="4D4D4D"/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  <xdr:sp macro="" textlink="">
            <xdr:nvSpPr>
              <xdr:cNvPr id="184" name="Rectangle 85"/>
              <xdr:cNvSpPr>
                <a:spLocks noChangeArrowheads="1"/>
              </xdr:cNvSpPr>
            </xdr:nvSpPr>
            <xdr:spPr bwMode="auto">
              <a:xfrm>
                <a:off x="2472" y="2841"/>
                <a:ext cx="363" cy="45"/>
              </a:xfrm>
              <a:prstGeom prst="rect">
                <a:avLst/>
              </a:prstGeom>
              <a:solidFill>
                <a:srgbClr val="4D4D4D"/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  <xdr:sp macro="" textlink="">
            <xdr:nvSpPr>
              <xdr:cNvPr id="185" name="Rectangle 86"/>
              <xdr:cNvSpPr>
                <a:spLocks noChangeArrowheads="1"/>
              </xdr:cNvSpPr>
            </xdr:nvSpPr>
            <xdr:spPr bwMode="auto">
              <a:xfrm>
                <a:off x="2472" y="3113"/>
                <a:ext cx="363" cy="45"/>
              </a:xfrm>
              <a:prstGeom prst="rect">
                <a:avLst/>
              </a:prstGeom>
              <a:solidFill>
                <a:srgbClr val="4D4D4D"/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  <xdr:sp macro="" textlink="">
            <xdr:nvSpPr>
              <xdr:cNvPr id="186" name="Rectangle 87"/>
              <xdr:cNvSpPr>
                <a:spLocks noChangeArrowheads="1"/>
              </xdr:cNvSpPr>
            </xdr:nvSpPr>
            <xdr:spPr bwMode="auto">
              <a:xfrm rot="16200000">
                <a:off x="2505" y="2943"/>
                <a:ext cx="341" cy="45"/>
              </a:xfrm>
              <a:prstGeom prst="rect">
                <a:avLst/>
              </a:prstGeom>
              <a:solidFill>
                <a:srgbClr val="4D4D4D"/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  <xdr:sp macro="" textlink="">
            <xdr:nvSpPr>
              <xdr:cNvPr id="187" name="Rectangle 88"/>
              <xdr:cNvSpPr>
                <a:spLocks noChangeArrowheads="1"/>
              </xdr:cNvSpPr>
            </xdr:nvSpPr>
            <xdr:spPr bwMode="auto">
              <a:xfrm rot="17080278" flipH="1">
                <a:off x="2506" y="2556"/>
                <a:ext cx="432" cy="45"/>
              </a:xfrm>
              <a:prstGeom prst="rect">
                <a:avLst/>
              </a:prstGeom>
              <a:solidFill>
                <a:srgbClr val="4D4D4D"/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</xdr:grpSp>
        <xdr:sp macro="" textlink="">
          <xdr:nvSpPr>
            <xdr:cNvPr id="165" name="Line 89"/>
            <xdr:cNvSpPr>
              <a:spLocks noChangeShapeType="1"/>
            </xdr:cNvSpPr>
          </xdr:nvSpPr>
          <xdr:spPr bwMode="auto">
            <a:xfrm flipH="1" flipV="1">
              <a:off x="3613150" y="4556125"/>
              <a:ext cx="0" cy="531813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66" name="Line 90"/>
            <xdr:cNvSpPr>
              <a:spLocks noChangeShapeType="1"/>
            </xdr:cNvSpPr>
          </xdr:nvSpPr>
          <xdr:spPr bwMode="auto">
            <a:xfrm flipH="1" flipV="1">
              <a:off x="3203575" y="4584700"/>
              <a:ext cx="0" cy="139700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67" name="Line 91"/>
            <xdr:cNvSpPr>
              <a:spLocks noChangeShapeType="1"/>
            </xdr:cNvSpPr>
          </xdr:nvSpPr>
          <xdr:spPr bwMode="auto">
            <a:xfrm flipH="1" flipV="1">
              <a:off x="3041650" y="4584700"/>
              <a:ext cx="161925" cy="0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68" name="Line 92"/>
            <xdr:cNvSpPr>
              <a:spLocks noChangeShapeType="1"/>
            </xdr:cNvSpPr>
          </xdr:nvSpPr>
          <xdr:spPr bwMode="auto">
            <a:xfrm flipH="1" flipV="1">
              <a:off x="3041650" y="4110038"/>
              <a:ext cx="0" cy="474662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69" name="Line 93"/>
            <xdr:cNvSpPr>
              <a:spLocks noChangeShapeType="1"/>
            </xdr:cNvSpPr>
          </xdr:nvSpPr>
          <xdr:spPr bwMode="auto">
            <a:xfrm flipH="1" flipV="1">
              <a:off x="2987675" y="4110038"/>
              <a:ext cx="0" cy="474662"/>
            </a:xfrm>
            <a:prstGeom prst="line">
              <a:avLst/>
            </a:prstGeom>
            <a:noFill/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70" name="Rectangle 94"/>
            <xdr:cNvSpPr>
              <a:spLocks noChangeArrowheads="1"/>
            </xdr:cNvSpPr>
          </xdr:nvSpPr>
          <xdr:spPr bwMode="auto">
            <a:xfrm flipH="1">
              <a:off x="3509963" y="4537075"/>
              <a:ext cx="69850" cy="182563"/>
            </a:xfrm>
            <a:prstGeom prst="rect">
              <a:avLst/>
            </a:prstGeom>
            <a:solidFill>
              <a:schemeClr val="tx1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71" name="AutoShape 95"/>
            <xdr:cNvSpPr>
              <a:spLocks noChangeArrowheads="1"/>
            </xdr:cNvSpPr>
          </xdr:nvSpPr>
          <xdr:spPr bwMode="auto">
            <a:xfrm flipH="1">
              <a:off x="3532188" y="4559300"/>
              <a:ext cx="23812" cy="114300"/>
            </a:xfrm>
            <a:prstGeom prst="roundRect">
              <a:avLst>
                <a:gd name="adj" fmla="val 50000"/>
              </a:avLst>
            </a:prstGeom>
            <a:solidFill>
              <a:srgbClr val="FF00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8575">
                  <a:solidFill>
                    <a:schemeClr val="bg2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72" name="Line 96"/>
            <xdr:cNvSpPr>
              <a:spLocks noChangeShapeType="1"/>
            </xdr:cNvSpPr>
          </xdr:nvSpPr>
          <xdr:spPr bwMode="auto">
            <a:xfrm>
              <a:off x="3532188" y="4102100"/>
              <a:ext cx="117475" cy="46038"/>
            </a:xfrm>
            <a:prstGeom prst="line">
              <a:avLst/>
            </a:prstGeom>
            <a:noFill/>
            <a:ln w="76200">
              <a:solidFill>
                <a:schemeClr val="tx1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grpSp>
          <xdr:nvGrpSpPr>
            <xdr:cNvPr id="173" name="Group 97"/>
            <xdr:cNvGrpSpPr>
              <a:grpSpLocks/>
            </xdr:cNvGrpSpPr>
          </xdr:nvGrpSpPr>
          <xdr:grpSpPr bwMode="auto">
            <a:xfrm flipH="1">
              <a:off x="3603625" y="4148138"/>
              <a:ext cx="69850" cy="227012"/>
              <a:chOff x="2426" y="755"/>
              <a:chExt cx="136" cy="407"/>
            </a:xfrm>
          </xdr:grpSpPr>
          <xdr:sp macro="" textlink="">
            <xdr:nvSpPr>
              <xdr:cNvPr id="181" name="AutoShape 98"/>
              <xdr:cNvSpPr>
                <a:spLocks noChangeArrowheads="1"/>
              </xdr:cNvSpPr>
            </xdr:nvSpPr>
            <xdr:spPr bwMode="auto">
              <a:xfrm>
                <a:off x="2426" y="755"/>
                <a:ext cx="136" cy="407"/>
              </a:xfrm>
              <a:prstGeom prst="roundRect">
                <a:avLst>
                  <a:gd name="adj" fmla="val 28023"/>
                </a:avLst>
              </a:prstGeom>
              <a:solidFill>
                <a:schemeClr val="tx1"/>
              </a:solidFill>
              <a:ln w="28575">
                <a:solidFill>
                  <a:schemeClr val="tx1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  <xdr:sp macro="" textlink="">
            <xdr:nvSpPr>
              <xdr:cNvPr id="182" name="AutoShape 99"/>
              <xdr:cNvSpPr>
                <a:spLocks noChangeArrowheads="1"/>
              </xdr:cNvSpPr>
            </xdr:nvSpPr>
            <xdr:spPr bwMode="auto">
              <a:xfrm>
                <a:off x="2517" y="800"/>
                <a:ext cx="45" cy="362"/>
              </a:xfrm>
              <a:prstGeom prst="roundRect">
                <a:avLst>
                  <a:gd name="adj" fmla="val 28023"/>
                </a:avLst>
              </a:prstGeom>
              <a:solidFill>
                <a:schemeClr val="accent1"/>
              </a:solidFill>
              <a:ln w="28575">
                <a:solidFill>
                  <a:schemeClr val="tx1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 anchor="ctr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</xdr:grpSp>
        <xdr:sp macro="" textlink="">
          <xdr:nvSpPr>
            <xdr:cNvPr id="174" name="Rectangle 100"/>
            <xdr:cNvSpPr>
              <a:spLocks noChangeArrowheads="1"/>
            </xdr:cNvSpPr>
          </xdr:nvSpPr>
          <xdr:spPr bwMode="auto">
            <a:xfrm flipH="1">
              <a:off x="3813175" y="5359400"/>
              <a:ext cx="93663" cy="68263"/>
            </a:xfrm>
            <a:prstGeom prst="rect">
              <a:avLst/>
            </a:prstGeom>
            <a:solidFill>
              <a:schemeClr val="tx1"/>
            </a:solidFill>
            <a:ln w="952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75" name="AutoShape 101"/>
            <xdr:cNvSpPr>
              <a:spLocks noChangeArrowheads="1"/>
            </xdr:cNvSpPr>
          </xdr:nvSpPr>
          <xdr:spPr bwMode="auto">
            <a:xfrm flipH="1">
              <a:off x="1504950" y="4103688"/>
              <a:ext cx="685800" cy="1228725"/>
            </a:xfrm>
            <a:prstGeom prst="roundRect">
              <a:avLst>
                <a:gd name="adj" fmla="val 16667"/>
              </a:avLst>
            </a:prstGeom>
            <a:solidFill>
              <a:schemeClr val="bg1"/>
            </a:solidFill>
            <a:ln w="28575">
              <a:solidFill>
                <a:schemeClr val="tx1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76" name="Rectangle 102"/>
            <xdr:cNvSpPr>
              <a:spLocks noChangeArrowheads="1"/>
            </xdr:cNvSpPr>
          </xdr:nvSpPr>
          <xdr:spPr bwMode="auto">
            <a:xfrm flipH="1">
              <a:off x="2027238" y="4103688"/>
              <a:ext cx="31750" cy="1228725"/>
            </a:xfrm>
            <a:prstGeom prst="rect">
              <a:avLst/>
            </a:prstGeom>
            <a:solidFill>
              <a:schemeClr val="tx1"/>
            </a:solidFill>
            <a:ln w="2857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sp macro="" textlink="">
          <xdr:nvSpPr>
            <xdr:cNvPr id="177" name="Rectangle 103"/>
            <xdr:cNvSpPr>
              <a:spLocks noChangeArrowheads="1"/>
            </xdr:cNvSpPr>
          </xdr:nvSpPr>
          <xdr:spPr bwMode="auto">
            <a:xfrm flipH="1">
              <a:off x="1635125" y="4103688"/>
              <a:ext cx="33338" cy="1228725"/>
            </a:xfrm>
            <a:prstGeom prst="rect">
              <a:avLst/>
            </a:prstGeom>
            <a:solidFill>
              <a:schemeClr val="tx1"/>
            </a:solidFill>
            <a:ln w="28575">
              <a:solidFill>
                <a:schemeClr val="tx1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de-DE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000"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de-DE"/>
            </a:p>
          </xdr:txBody>
        </xdr:sp>
        <xdr:grpSp>
          <xdr:nvGrpSpPr>
            <xdr:cNvPr id="178" name="Group 189"/>
            <xdr:cNvGrpSpPr>
              <a:grpSpLocks noChangeAspect="1"/>
            </xdr:cNvGrpSpPr>
          </xdr:nvGrpSpPr>
          <xdr:grpSpPr bwMode="auto">
            <a:xfrm>
              <a:off x="360363" y="4537077"/>
              <a:ext cx="1590675" cy="788988"/>
              <a:chOff x="617" y="1385"/>
              <a:chExt cx="750" cy="372"/>
            </a:xfrm>
          </xdr:grpSpPr>
          <xdr:sp macro="" textlink="">
            <xdr:nvSpPr>
              <xdr:cNvPr id="179" name="Freeform 190"/>
              <xdr:cNvSpPr>
                <a:spLocks noChangeAspect="1"/>
              </xdr:cNvSpPr>
            </xdr:nvSpPr>
            <xdr:spPr bwMode="auto">
              <a:xfrm>
                <a:off x="617" y="1391"/>
                <a:ext cx="372" cy="360"/>
              </a:xfrm>
              <a:custGeom>
                <a:avLst/>
                <a:gdLst>
                  <a:gd name="T0" fmla="*/ 372 w 372"/>
                  <a:gd name="T1" fmla="*/ 0 h 360"/>
                  <a:gd name="T2" fmla="*/ 0 w 372"/>
                  <a:gd name="T3" fmla="*/ 360 h 360"/>
                  <a:gd name="T4" fmla="*/ 192 w 372"/>
                  <a:gd name="T5" fmla="*/ 354 h 360"/>
                  <a:gd name="T6" fmla="*/ 372 w 372"/>
                  <a:gd name="T7" fmla="*/ 0 h 36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</a:cxnLst>
                <a:rect l="0" t="0" r="r" b="b"/>
                <a:pathLst>
                  <a:path w="372" h="360">
                    <a:moveTo>
                      <a:pt x="372" y="0"/>
                    </a:moveTo>
                    <a:lnTo>
                      <a:pt x="0" y="360"/>
                    </a:lnTo>
                    <a:lnTo>
                      <a:pt x="192" y="354"/>
                    </a:lnTo>
                    <a:lnTo>
                      <a:pt x="372" y="0"/>
                    </a:lnTo>
                    <a:close/>
                  </a:path>
                </a:pathLst>
              </a:custGeom>
              <a:gradFill rotWithShape="1">
                <a:gsLst>
                  <a:gs pos="0">
                    <a:srgbClr val="99CCFF"/>
                  </a:gs>
                  <a:gs pos="100000">
                    <a:srgbClr val="99CCFF">
                      <a:gamma/>
                      <a:shade val="46275"/>
                      <a:invGamma/>
                    </a:srgbClr>
                  </a:gs>
                </a:gsLst>
                <a:lin ang="0" scaled="1"/>
              </a:gradFill>
              <a:ln w="9525" cap="flat" cmpd="sng">
                <a:solidFill>
                  <a:schemeClr val="tx1"/>
                </a:solidFill>
                <a:prstDash val="solid"/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  <xdr:sp macro="" textlink="">
            <xdr:nvSpPr>
              <xdr:cNvPr id="180" name="Freeform 191"/>
              <xdr:cNvSpPr>
                <a:spLocks noChangeAspect="1"/>
              </xdr:cNvSpPr>
            </xdr:nvSpPr>
            <xdr:spPr bwMode="auto">
              <a:xfrm>
                <a:off x="989" y="1385"/>
                <a:ext cx="378" cy="372"/>
              </a:xfrm>
              <a:custGeom>
                <a:avLst/>
                <a:gdLst>
                  <a:gd name="T0" fmla="*/ 0 w 378"/>
                  <a:gd name="T1" fmla="*/ 0 h 372"/>
                  <a:gd name="T2" fmla="*/ 378 w 378"/>
                  <a:gd name="T3" fmla="*/ 372 h 372"/>
                  <a:gd name="T4" fmla="*/ 204 w 378"/>
                  <a:gd name="T5" fmla="*/ 366 h 372"/>
                  <a:gd name="T6" fmla="*/ 0 w 378"/>
                  <a:gd name="T7" fmla="*/ 0 h 37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</a:cxnLst>
                <a:rect l="0" t="0" r="r" b="b"/>
                <a:pathLst>
                  <a:path w="378" h="372">
                    <a:moveTo>
                      <a:pt x="0" y="0"/>
                    </a:moveTo>
                    <a:lnTo>
                      <a:pt x="378" y="372"/>
                    </a:lnTo>
                    <a:lnTo>
                      <a:pt x="204" y="366"/>
                    </a:lnTo>
                    <a:lnTo>
                      <a:pt x="0" y="0"/>
                    </a:lnTo>
                    <a:close/>
                  </a:path>
                </a:pathLst>
              </a:custGeom>
              <a:gradFill rotWithShape="1">
                <a:gsLst>
                  <a:gs pos="0">
                    <a:srgbClr val="99CCFF">
                      <a:gamma/>
                      <a:shade val="46275"/>
                      <a:invGamma/>
                    </a:srgbClr>
                  </a:gs>
                  <a:gs pos="100000">
                    <a:srgbClr val="99CCFF"/>
                  </a:gs>
                </a:gsLst>
                <a:lin ang="0" scaled="1"/>
              </a:gradFill>
              <a:ln w="9525" cap="flat" cmpd="sng">
                <a:solidFill>
                  <a:schemeClr val="tx1"/>
                </a:solidFill>
                <a:prstDash val="solid"/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de-DE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000"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de-DE"/>
              </a:p>
            </xdr:txBody>
          </xdr:sp>
        </xdr:grpSp>
      </xdr:grpSp>
    </xdr:grpSp>
    <xdr:clientData/>
  </xdr:twoCellAnchor>
  <xdr:twoCellAnchor>
    <xdr:from>
      <xdr:col>10</xdr:col>
      <xdr:colOff>33448</xdr:colOff>
      <xdr:row>51</xdr:row>
      <xdr:rowOff>24607</xdr:rowOff>
    </xdr:from>
    <xdr:to>
      <xdr:col>12</xdr:col>
      <xdr:colOff>705448</xdr:colOff>
      <xdr:row>54</xdr:row>
      <xdr:rowOff>185857</xdr:rowOff>
    </xdr:to>
    <xdr:sp macro="" textlink="">
      <xdr:nvSpPr>
        <xdr:cNvPr id="197" name="Rahmen 196">
          <a:hlinkClick xmlns:r="http://schemas.openxmlformats.org/officeDocument/2006/relationships" r:id="rId57"/>
        </xdr:cNvPr>
        <xdr:cNvSpPr/>
      </xdr:nvSpPr>
      <xdr:spPr>
        <a:xfrm>
          <a:off x="9796573" y="12883357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Mischbestückung</a:t>
          </a:r>
          <a:r>
            <a:rPr lang="de-DE" sz="1400" b="1">
              <a:solidFill>
                <a:sysClr val="windowText" lastClr="000000"/>
              </a:solidFill>
            </a:rPr>
            <a:t/>
          </a:r>
          <a:br>
            <a:rPr lang="de-DE" sz="14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13</xdr:col>
      <xdr:colOff>33448</xdr:colOff>
      <xdr:row>51</xdr:row>
      <xdr:rowOff>38214</xdr:rowOff>
    </xdr:from>
    <xdr:to>
      <xdr:col>15</xdr:col>
      <xdr:colOff>657823</xdr:colOff>
      <xdr:row>54</xdr:row>
      <xdr:rowOff>199464</xdr:rowOff>
    </xdr:to>
    <xdr:sp macro="" textlink="">
      <xdr:nvSpPr>
        <xdr:cNvPr id="198" name="Rahmen 197">
          <a:hlinkClick xmlns:r="http://schemas.openxmlformats.org/officeDocument/2006/relationships" r:id="rId58"/>
        </xdr:cNvPr>
        <xdr:cNvSpPr/>
      </xdr:nvSpPr>
      <xdr:spPr>
        <a:xfrm>
          <a:off x="12082573" y="12896964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Mischbestückung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16</xdr:col>
      <xdr:colOff>60663</xdr:colOff>
      <xdr:row>51</xdr:row>
      <xdr:rowOff>11000</xdr:rowOff>
    </xdr:from>
    <xdr:to>
      <xdr:col>18</xdr:col>
      <xdr:colOff>732663</xdr:colOff>
      <xdr:row>54</xdr:row>
      <xdr:rowOff>172250</xdr:rowOff>
    </xdr:to>
    <xdr:sp macro="" textlink="">
      <xdr:nvSpPr>
        <xdr:cNvPr id="199" name="Rahmen 198">
          <a:hlinkClick xmlns:r="http://schemas.openxmlformats.org/officeDocument/2006/relationships" r:id="rId59"/>
        </xdr:cNvPr>
        <xdr:cNvSpPr/>
      </xdr:nvSpPr>
      <xdr:spPr>
        <a:xfrm>
          <a:off x="14443413" y="12869750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Mischbestückung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19</xdr:col>
      <xdr:colOff>47056</xdr:colOff>
      <xdr:row>51</xdr:row>
      <xdr:rowOff>24607</xdr:rowOff>
    </xdr:from>
    <xdr:to>
      <xdr:col>21</xdr:col>
      <xdr:colOff>719056</xdr:colOff>
      <xdr:row>54</xdr:row>
      <xdr:rowOff>185857</xdr:rowOff>
    </xdr:to>
    <xdr:sp macro="" textlink="">
      <xdr:nvSpPr>
        <xdr:cNvPr id="200" name="Rahmen 199">
          <a:hlinkClick xmlns:r="http://schemas.openxmlformats.org/officeDocument/2006/relationships" r:id="rId60"/>
        </xdr:cNvPr>
        <xdr:cNvSpPr/>
      </xdr:nvSpPr>
      <xdr:spPr>
        <a:xfrm>
          <a:off x="16715806" y="12883357"/>
          <a:ext cx="2196000" cy="828000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Mischbestückung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oneCellAnchor>
    <xdr:from>
      <xdr:col>8</xdr:col>
      <xdr:colOff>154775</xdr:colOff>
      <xdr:row>1</xdr:row>
      <xdr:rowOff>332547</xdr:rowOff>
    </xdr:from>
    <xdr:ext cx="4802188" cy="505267"/>
    <xdr:sp macro="" textlink="">
      <xdr:nvSpPr>
        <xdr:cNvPr id="204" name="Textfeld 203"/>
        <xdr:cNvSpPr txBox="1"/>
      </xdr:nvSpPr>
      <xdr:spPr>
        <a:xfrm>
          <a:off x="8393900" y="594485"/>
          <a:ext cx="4802188" cy="5052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r"/>
          <a:r>
            <a:rPr lang="de-DE" sz="2800" b="1">
              <a:latin typeface="Arial" panose="020B0604020202020204" pitchFamily="34" charset="0"/>
              <a:cs typeface="Arial" panose="020B0604020202020204" pitchFamily="34" charset="0"/>
            </a:rPr>
            <a:t>Düsenrechner Ackerbau </a:t>
          </a:r>
        </a:p>
      </xdr:txBody>
    </xdr:sp>
    <xdr:clientData/>
  </xdr:oneCellAnchor>
  <xdr:twoCellAnchor>
    <xdr:from>
      <xdr:col>16</xdr:col>
      <xdr:colOff>47624</xdr:colOff>
      <xdr:row>0</xdr:row>
      <xdr:rowOff>179246</xdr:rowOff>
    </xdr:from>
    <xdr:to>
      <xdr:col>19</xdr:col>
      <xdr:colOff>410195</xdr:colOff>
      <xdr:row>2</xdr:row>
      <xdr:rowOff>42738</xdr:rowOff>
    </xdr:to>
    <xdr:grpSp>
      <xdr:nvGrpSpPr>
        <xdr:cNvPr id="205" name="Gruppieren 204"/>
        <xdr:cNvGrpSpPr>
          <a:grpSpLocks noChangeAspect="1"/>
        </xdr:cNvGrpSpPr>
      </xdr:nvGrpSpPr>
      <xdr:grpSpPr>
        <a:xfrm>
          <a:off x="14881224" y="179246"/>
          <a:ext cx="2724771" cy="511192"/>
          <a:chOff x="7486640" y="6363548"/>
          <a:chExt cx="2692411" cy="537939"/>
        </a:xfrm>
      </xdr:grpSpPr>
      <xdr:sp macro="" textlink="">
        <xdr:nvSpPr>
          <xdr:cNvPr id="206" name="Text Box 33"/>
          <xdr:cNvSpPr txBox="1">
            <a:spLocks noChangeAspect="1" noChangeArrowheads="1"/>
          </xdr:cNvSpPr>
        </xdr:nvSpPr>
        <xdr:spPr bwMode="auto">
          <a:xfrm>
            <a:off x="7486640" y="6400801"/>
            <a:ext cx="2692411" cy="4579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D3E9BD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ctr" upright="1"/>
          <a:lstStyle/>
          <a:p>
            <a:pPr algn="l" rtl="0">
              <a:defRPr sz="1000"/>
            </a:pPr>
            <a:r>
              <a:rPr lang="de-DE" sz="1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Pflanzenschutzdienst</a:t>
            </a:r>
          </a:p>
          <a:p>
            <a:pPr algn="ctr" rtl="0">
              <a:defRPr sz="1000"/>
            </a:pPr>
            <a:endParaRPr lang="de-DE" sz="1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de-DE" sz="1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pic>
        <xdr:nvPicPr>
          <xdr:cNvPr id="207" name="Picture 34" descr="umriss2"/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email">
            <a:lum bright="-100000" contrast="100000"/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604721" y="6363548"/>
            <a:ext cx="551912" cy="53793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6</xdr:col>
      <xdr:colOff>190500</xdr:colOff>
      <xdr:row>0</xdr:row>
      <xdr:rowOff>95249</xdr:rowOff>
    </xdr:from>
    <xdr:to>
      <xdr:col>9</xdr:col>
      <xdr:colOff>720025</xdr:colOff>
      <xdr:row>1</xdr:row>
      <xdr:rowOff>285748</xdr:rowOff>
    </xdr:to>
    <xdr:pic>
      <xdr:nvPicPr>
        <xdr:cNvPr id="208" name="Picture 6" descr="lwk-nrw-gruen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625" y="95249"/>
          <a:ext cx="2815525" cy="452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23811</xdr:colOff>
      <xdr:row>3</xdr:row>
      <xdr:rowOff>238125</xdr:rowOff>
    </xdr:from>
    <xdr:ext cx="10668001" cy="468077"/>
    <xdr:sp macro="" textlink="">
      <xdr:nvSpPr>
        <xdr:cNvPr id="7" name="Textfeld 6"/>
        <xdr:cNvSpPr txBox="1"/>
      </xdr:nvSpPr>
      <xdr:spPr>
        <a:xfrm>
          <a:off x="6738936" y="1119188"/>
          <a:ext cx="10668001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de-DE" sz="1200" b="1"/>
            <a:t>*Der angegebene Druck ist ein tabellarischer Wert, da in jedem  Pflanzenschutzgerät Druckverluste auftreten, muss das Gerät vor Inbetriebnahme ausgelitert werden</a:t>
          </a:r>
        </a:p>
        <a:p>
          <a:pPr algn="ctr"/>
          <a:r>
            <a:rPr lang="de-DE" sz="1200" b="1"/>
            <a:t>Gültig nur für ISO 10625 genormte Düsen bei einem Düsenabstand von 40 bis 60 cm! Für Vollständigkeit und Richtigkeit wird keie Gewähr übernommen</a:t>
          </a:r>
        </a:p>
      </xdr:txBody>
    </xdr:sp>
    <xdr:clientData/>
  </xdr:oneCellAnchor>
  <xdr:twoCellAnchor>
    <xdr:from>
      <xdr:col>22</xdr:col>
      <xdr:colOff>47055</xdr:colOff>
      <xdr:row>51</xdr:row>
      <xdr:rowOff>24607</xdr:rowOff>
    </xdr:from>
    <xdr:to>
      <xdr:col>24</xdr:col>
      <xdr:colOff>719055</xdr:colOff>
      <xdr:row>54</xdr:row>
      <xdr:rowOff>185857</xdr:rowOff>
    </xdr:to>
    <xdr:sp macro="" textlink="">
      <xdr:nvSpPr>
        <xdr:cNvPr id="201" name="Rahmen 200">
          <a:hlinkClick xmlns:r="http://schemas.openxmlformats.org/officeDocument/2006/relationships" r:id="rId63"/>
        </xdr:cNvPr>
        <xdr:cNvSpPr/>
      </xdr:nvSpPr>
      <xdr:spPr>
        <a:xfrm>
          <a:off x="19001805" y="12978607"/>
          <a:ext cx="2196000" cy="839906"/>
        </a:xfrm>
        <a:prstGeom prst="bevel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Mischbestückung</a:t>
          </a:r>
          <a:br>
            <a:rPr lang="de-DE" sz="1600" b="1">
              <a:solidFill>
                <a:sysClr val="windowText" lastClr="000000"/>
              </a:solidFill>
            </a:rPr>
          </a:br>
          <a:r>
            <a:rPr lang="de-DE" sz="1600" b="1">
              <a:solidFill>
                <a:sysClr val="windowText" lastClr="000000"/>
              </a:solidFill>
            </a:rPr>
            <a:t>- zu den Düsen -</a:t>
          </a:r>
        </a:p>
      </xdr:txBody>
    </xdr:sp>
    <xdr:clientData/>
  </xdr:twoCellAnchor>
  <xdr:twoCellAnchor>
    <xdr:from>
      <xdr:col>21</xdr:col>
      <xdr:colOff>257285</xdr:colOff>
      <xdr:row>0</xdr:row>
      <xdr:rowOff>116681</xdr:rowOff>
    </xdr:from>
    <xdr:to>
      <xdr:col>23</xdr:col>
      <xdr:colOff>758728</xdr:colOff>
      <xdr:row>2</xdr:row>
      <xdr:rowOff>285749</xdr:rowOff>
    </xdr:to>
    <xdr:grpSp>
      <xdr:nvGrpSpPr>
        <xdr:cNvPr id="202" name="Gruppieren 201">
          <a:hlinkClick xmlns:r="http://schemas.openxmlformats.org/officeDocument/2006/relationships" r:id="rId64"/>
        </xdr:cNvPr>
        <xdr:cNvGrpSpPr/>
      </xdr:nvGrpSpPr>
      <xdr:grpSpPr>
        <a:xfrm>
          <a:off x="19027885" y="116681"/>
          <a:ext cx="2076243" cy="816768"/>
          <a:chOff x="277811" y="5232140"/>
          <a:chExt cx="2025443" cy="828146"/>
        </a:xfrm>
      </xdr:grpSpPr>
      <xdr:sp macro="" textlink="">
        <xdr:nvSpPr>
          <xdr:cNvPr id="203" name="Abgerundetes Rechteck 202"/>
          <xdr:cNvSpPr/>
        </xdr:nvSpPr>
        <xdr:spPr>
          <a:xfrm>
            <a:off x="277811" y="5232140"/>
            <a:ext cx="1934106" cy="828146"/>
          </a:xfrm>
          <a:prstGeom prst="roundRect">
            <a:avLst/>
          </a:prstGeom>
          <a:solidFill>
            <a:srgbClr val="339933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de-DE" sz="1200" b="1"/>
              <a:t>PWM =</a:t>
            </a:r>
            <a:br>
              <a:rPr lang="de-DE" sz="1200" b="1"/>
            </a:br>
            <a:r>
              <a:rPr lang="de-DE" sz="1200" b="1"/>
              <a:t>Pulsweiten</a:t>
            </a:r>
            <a:br>
              <a:rPr lang="de-DE" sz="1200" b="1"/>
            </a:br>
            <a:r>
              <a:rPr lang="de-DE" sz="1200" b="1"/>
              <a:t>Modulation</a:t>
            </a:r>
          </a:p>
        </xdr:txBody>
      </xdr:sp>
      <xdr:pic>
        <xdr:nvPicPr>
          <xdr:cNvPr id="209" name="Picture 49">
            <a:extLst>
              <a:ext uri="{FF2B5EF4-FFF2-40B4-BE49-F238E27FC236}">
                <a16:creationId xmlns:a16="http://schemas.microsoft.com/office/drawing/2014/main" id="{EF683D4B-116D-4301-9667-D9400A25D4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5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7935" y="5289723"/>
            <a:ext cx="1025319" cy="698878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297657</xdr:colOff>
      <xdr:row>2</xdr:row>
      <xdr:rowOff>402432</xdr:rowOff>
    </xdr:from>
    <xdr:to>
      <xdr:col>23</xdr:col>
      <xdr:colOff>619125</xdr:colOff>
      <xdr:row>5</xdr:row>
      <xdr:rowOff>23812</xdr:rowOff>
    </xdr:to>
    <xdr:grpSp>
      <xdr:nvGrpSpPr>
        <xdr:cNvPr id="2" name="Gruppieren 1"/>
        <xdr:cNvGrpSpPr/>
      </xdr:nvGrpSpPr>
      <xdr:grpSpPr>
        <a:xfrm>
          <a:off x="19068257" y="1050132"/>
          <a:ext cx="1896268" cy="815180"/>
          <a:chOff x="309564" y="15320963"/>
          <a:chExt cx="1845468" cy="823911"/>
        </a:xfrm>
      </xdr:grpSpPr>
      <xdr:sp macro="" textlink="">
        <xdr:nvSpPr>
          <xdr:cNvPr id="54" name="Abgerundetes Rechteck 53">
            <a:hlinkClick xmlns:r="http://schemas.openxmlformats.org/officeDocument/2006/relationships" r:id="rId66"/>
          </xdr:cNvPr>
          <xdr:cNvSpPr/>
        </xdr:nvSpPr>
        <xdr:spPr>
          <a:xfrm>
            <a:off x="309564" y="15320963"/>
            <a:ext cx="1845468" cy="823911"/>
          </a:xfrm>
          <a:prstGeom prst="roundRect">
            <a:avLst/>
          </a:prstGeom>
          <a:solidFill>
            <a:srgbClr val="339933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de-DE" sz="1400" b="1"/>
              <a:t>Flüssig-</a:t>
            </a:r>
            <a:br>
              <a:rPr lang="de-DE" sz="1400" b="1"/>
            </a:br>
            <a:r>
              <a:rPr lang="de-DE" sz="1400" b="1"/>
              <a:t>dünger</a:t>
            </a:r>
            <a:br>
              <a:rPr lang="de-DE" sz="1400" b="1"/>
            </a:br>
            <a:r>
              <a:rPr lang="de-DE" sz="1400" b="1"/>
              <a:t>-Düsen</a:t>
            </a:r>
          </a:p>
        </xdr:txBody>
      </xdr:sp>
      <xdr:pic>
        <xdr:nvPicPr>
          <xdr:cNvPr id="216" name="Grafik 215"/>
          <xdr:cNvPicPr>
            <a:picLocks noChangeAspect="1"/>
          </xdr:cNvPicPr>
        </xdr:nvPicPr>
        <xdr:blipFill rotWithShape="1">
          <a:blip xmlns:r="http://schemas.openxmlformats.org/officeDocument/2006/relationships" r:embed="rId67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 l="23106" t="8275" r="22083" b="9836"/>
          <a:stretch/>
        </xdr:blipFill>
        <xdr:spPr>
          <a:xfrm>
            <a:off x="1370173" y="15406686"/>
            <a:ext cx="433780" cy="648069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35719</xdr:colOff>
      <xdr:row>25</xdr:row>
      <xdr:rowOff>152401</xdr:rowOff>
    </xdr:from>
    <xdr:to>
      <xdr:col>19</xdr:col>
      <xdr:colOff>408404</xdr:colOff>
      <xdr:row>33</xdr:row>
      <xdr:rowOff>157314</xdr:rowOff>
    </xdr:to>
    <xdr:grpSp>
      <xdr:nvGrpSpPr>
        <xdr:cNvPr id="9" name="Gruppieren 8"/>
        <xdr:cNvGrpSpPr/>
      </xdr:nvGrpSpPr>
      <xdr:grpSpPr>
        <a:xfrm>
          <a:off x="35719" y="5974557"/>
          <a:ext cx="13683873" cy="1814663"/>
          <a:chOff x="35719" y="5974557"/>
          <a:chExt cx="13683873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35719" y="7215716"/>
            <a:ext cx="13683873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5251" y="6041496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51036" y="5974557"/>
            <a:ext cx="4837319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47624</xdr:rowOff>
    </xdr:from>
    <xdr:to>
      <xdr:col>3</xdr:col>
      <xdr:colOff>773906</xdr:colOff>
      <xdr:row>19</xdr:row>
      <xdr:rowOff>202405</xdr:rowOff>
    </xdr:to>
    <xdr:sp macro="" textlink="">
      <xdr:nvSpPr>
        <xdr:cNvPr id="16" name="Rahmen 15"/>
        <xdr:cNvSpPr/>
      </xdr:nvSpPr>
      <xdr:spPr>
        <a:xfrm>
          <a:off x="0" y="3607593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23811</xdr:colOff>
      <xdr:row>0</xdr:row>
      <xdr:rowOff>35718</xdr:rowOff>
    </xdr:from>
    <xdr:to>
      <xdr:col>6</xdr:col>
      <xdr:colOff>1654969</xdr:colOff>
      <xdr:row>3</xdr:row>
      <xdr:rowOff>190499</xdr:rowOff>
    </xdr:to>
    <xdr:sp macro="" textlink="">
      <xdr:nvSpPr>
        <xdr:cNvPr id="17" name="Rahmen 16"/>
        <xdr:cNvSpPr/>
      </xdr:nvSpPr>
      <xdr:spPr>
        <a:xfrm>
          <a:off x="4167186" y="35718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KURZE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2,0 bis 3,0 bar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20</xdr:row>
      <xdr:rowOff>167215</xdr:rowOff>
    </xdr:from>
    <xdr:to>
      <xdr:col>20</xdr:col>
      <xdr:colOff>15498</xdr:colOff>
      <xdr:row>23</xdr:row>
      <xdr:rowOff>62063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95250" y="4872565"/>
          <a:ext cx="12826623" cy="580648"/>
        </a:xfrm>
        <a:prstGeom prst="foldedCorner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</a:r>
        </a:p>
      </xdr:txBody>
    </xdr:sp>
    <xdr:clientData/>
  </xdr:twoCellAnchor>
  <xdr:twoCellAnchor editAs="oneCell">
    <xdr:from>
      <xdr:col>0</xdr:col>
      <xdr:colOff>154782</xdr:colOff>
      <xdr:row>15</xdr:row>
      <xdr:rowOff>124089</xdr:rowOff>
    </xdr:from>
    <xdr:to>
      <xdr:col>5</xdr:col>
      <xdr:colOff>93257</xdr:colOff>
      <xdr:row>20</xdr:row>
      <xdr:rowOff>92840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2" y="3686439"/>
          <a:ext cx="4853375" cy="1111751"/>
        </a:xfrm>
        <a:prstGeom prst="rect">
          <a:avLst/>
        </a:prstGeom>
      </xdr:spPr>
    </xdr:pic>
    <xdr:clientData/>
  </xdr:twoCellAnchor>
  <xdr:twoCellAnchor editAs="oneCell">
    <xdr:from>
      <xdr:col>6</xdr:col>
      <xdr:colOff>55036</xdr:colOff>
      <xdr:row>15</xdr:row>
      <xdr:rowOff>57150</xdr:rowOff>
    </xdr:from>
    <xdr:to>
      <xdr:col>15</xdr:col>
      <xdr:colOff>10792</xdr:colOff>
      <xdr:row>20</xdr:row>
      <xdr:rowOff>118464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7711" y="3619500"/>
          <a:ext cx="4794456" cy="120431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176213</xdr:rowOff>
    </xdr:from>
    <xdr:to>
      <xdr:col>19</xdr:col>
      <xdr:colOff>372686</xdr:colOff>
      <xdr:row>33</xdr:row>
      <xdr:rowOff>181126</xdr:rowOff>
    </xdr:to>
    <xdr:grpSp>
      <xdr:nvGrpSpPr>
        <xdr:cNvPr id="8" name="Gruppieren 7"/>
        <xdr:cNvGrpSpPr/>
      </xdr:nvGrpSpPr>
      <xdr:grpSpPr>
        <a:xfrm>
          <a:off x="0" y="5998369"/>
          <a:ext cx="13671967" cy="1814663"/>
          <a:chOff x="95250" y="3617119"/>
          <a:chExt cx="13671967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671967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3617119"/>
            <a:ext cx="4837319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71436</xdr:rowOff>
    </xdr:from>
    <xdr:to>
      <xdr:col>3</xdr:col>
      <xdr:colOff>773906</xdr:colOff>
      <xdr:row>19</xdr:row>
      <xdr:rowOff>226217</xdr:rowOff>
    </xdr:to>
    <xdr:sp macro="" textlink="">
      <xdr:nvSpPr>
        <xdr:cNvPr id="10" name="Rahmen 9"/>
        <xdr:cNvSpPr/>
      </xdr:nvSpPr>
      <xdr:spPr>
        <a:xfrm>
          <a:off x="0" y="3631405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23811</xdr:colOff>
      <xdr:row>0</xdr:row>
      <xdr:rowOff>0</xdr:rowOff>
    </xdr:from>
    <xdr:to>
      <xdr:col>6</xdr:col>
      <xdr:colOff>1654969</xdr:colOff>
      <xdr:row>3</xdr:row>
      <xdr:rowOff>154781</xdr:rowOff>
    </xdr:to>
    <xdr:sp macro="" textlink="">
      <xdr:nvSpPr>
        <xdr:cNvPr id="11" name="Rahmen 10"/>
        <xdr:cNvSpPr/>
      </xdr:nvSpPr>
      <xdr:spPr>
        <a:xfrm>
          <a:off x="4167186" y="0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LANGE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3,0 bis 5,0 bar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169069</xdr:rowOff>
    </xdr:from>
    <xdr:to>
      <xdr:col>19</xdr:col>
      <xdr:colOff>372685</xdr:colOff>
      <xdr:row>33</xdr:row>
      <xdr:rowOff>173982</xdr:rowOff>
    </xdr:to>
    <xdr:grpSp>
      <xdr:nvGrpSpPr>
        <xdr:cNvPr id="9" name="Gruppieren 8"/>
        <xdr:cNvGrpSpPr/>
      </xdr:nvGrpSpPr>
      <xdr:grpSpPr>
        <a:xfrm>
          <a:off x="0" y="6050757"/>
          <a:ext cx="13410029" cy="1814663"/>
          <a:chOff x="95250" y="4419600"/>
          <a:chExt cx="13410029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5658378"/>
            <a:ext cx="13410029" cy="575885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4484158"/>
            <a:ext cx="4843850" cy="1102226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4419600"/>
            <a:ext cx="4832556" cy="1190027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20</xdr:row>
      <xdr:rowOff>47625</xdr:rowOff>
    </xdr:from>
    <xdr:to>
      <xdr:col>10</xdr:col>
      <xdr:colOff>369094</xdr:colOff>
      <xdr:row>25</xdr:row>
      <xdr:rowOff>-1</xdr:rowOff>
    </xdr:to>
    <xdr:sp macro="" textlink="">
      <xdr:nvSpPr>
        <xdr:cNvPr id="22" name="Rahmen 21"/>
        <xdr:cNvSpPr/>
      </xdr:nvSpPr>
      <xdr:spPr>
        <a:xfrm>
          <a:off x="0" y="4798219"/>
          <a:ext cx="9334500" cy="1083468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(l/ha), die Fahrgeschwindigkeit (km/h), Bandbreite (cm), der Reihenabstand (cm), die Schlaggröße (ha) und die PSM-Menge (l bzw. kg/ha) verändert werden </a:t>
          </a:r>
          <a:b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in den grünen Feldern wird der Anteil berechnet der angesetzt bzw. behandelt werden muss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0</xdr:row>
      <xdr:rowOff>0</xdr:rowOff>
    </xdr:from>
    <xdr:to>
      <xdr:col>6</xdr:col>
      <xdr:colOff>797720</xdr:colOff>
      <xdr:row>3</xdr:row>
      <xdr:rowOff>190500</xdr:rowOff>
    </xdr:to>
    <xdr:sp macro="" textlink="">
      <xdr:nvSpPr>
        <xdr:cNvPr id="23" name="Rahmen 22"/>
        <xdr:cNvSpPr/>
      </xdr:nvSpPr>
      <xdr:spPr>
        <a:xfrm>
          <a:off x="4238625" y="0"/>
          <a:ext cx="2714626" cy="89296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Bandspritzdüsen</a:t>
          </a:r>
        </a:p>
      </xdr:txBody>
    </xdr:sp>
    <xdr:clientData/>
  </xdr:twoCellAnchor>
  <xdr:twoCellAnchor>
    <xdr:from>
      <xdr:col>2</xdr:col>
      <xdr:colOff>107156</xdr:colOff>
      <xdr:row>10</xdr:row>
      <xdr:rowOff>142875</xdr:rowOff>
    </xdr:from>
    <xdr:to>
      <xdr:col>3</xdr:col>
      <xdr:colOff>821531</xdr:colOff>
      <xdr:row>14</xdr:row>
      <xdr:rowOff>130969</xdr:rowOff>
    </xdr:to>
    <xdr:sp macro="" textlink="">
      <xdr:nvSpPr>
        <xdr:cNvPr id="24" name="Horizontales Scrollen 23"/>
        <xdr:cNvSpPr/>
      </xdr:nvSpPr>
      <xdr:spPr>
        <a:xfrm>
          <a:off x="2774156" y="2512219"/>
          <a:ext cx="1357313" cy="940594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l/ha auf die ges. Fläche bezogen</a:t>
          </a:r>
        </a:p>
      </xdr:txBody>
    </xdr:sp>
    <xdr:clientData/>
  </xdr:twoCellAnchor>
  <xdr:twoCellAnchor>
    <xdr:from>
      <xdr:col>3</xdr:col>
      <xdr:colOff>488156</xdr:colOff>
      <xdr:row>15</xdr:row>
      <xdr:rowOff>142875</xdr:rowOff>
    </xdr:from>
    <xdr:to>
      <xdr:col>5</xdr:col>
      <xdr:colOff>250032</xdr:colOff>
      <xdr:row>19</xdr:row>
      <xdr:rowOff>130969</xdr:rowOff>
    </xdr:to>
    <xdr:sp macro="" textlink="">
      <xdr:nvSpPr>
        <xdr:cNvPr id="25" name="Horizontales Scrollen 24"/>
        <xdr:cNvSpPr/>
      </xdr:nvSpPr>
      <xdr:spPr>
        <a:xfrm>
          <a:off x="3798094" y="3702844"/>
          <a:ext cx="1357313" cy="940594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l/kg auf das behandelte Band bezogen</a:t>
          </a:r>
        </a:p>
      </xdr:txBody>
    </xdr:sp>
    <xdr:clientData/>
  </xdr:twoCellAnchor>
  <xdr:twoCellAnchor>
    <xdr:from>
      <xdr:col>5</xdr:col>
      <xdr:colOff>654844</xdr:colOff>
      <xdr:row>12</xdr:row>
      <xdr:rowOff>154781</xdr:rowOff>
    </xdr:from>
    <xdr:to>
      <xdr:col>7</xdr:col>
      <xdr:colOff>28575</xdr:colOff>
      <xdr:row>19</xdr:row>
      <xdr:rowOff>164306</xdr:rowOff>
    </xdr:to>
    <xdr:grpSp>
      <xdr:nvGrpSpPr>
        <xdr:cNvPr id="26" name="Group 329"/>
        <xdr:cNvGrpSpPr>
          <a:grpSpLocks/>
        </xdr:cNvGrpSpPr>
      </xdr:nvGrpSpPr>
      <xdr:grpSpPr bwMode="auto">
        <a:xfrm>
          <a:off x="5560219" y="3000375"/>
          <a:ext cx="2076450" cy="1676400"/>
          <a:chOff x="823" y="40"/>
          <a:chExt cx="201" cy="165"/>
        </a:xfrm>
      </xdr:grpSpPr>
      <xdr:grpSp>
        <xdr:nvGrpSpPr>
          <xdr:cNvPr id="27" name="Group 330"/>
          <xdr:cNvGrpSpPr>
            <a:grpSpLocks noChangeAspect="1"/>
          </xdr:cNvGrpSpPr>
        </xdr:nvGrpSpPr>
        <xdr:grpSpPr bwMode="auto">
          <a:xfrm>
            <a:off x="823" y="40"/>
            <a:ext cx="201" cy="165"/>
            <a:chOff x="1080" y="1414"/>
            <a:chExt cx="2538" cy="2084"/>
          </a:xfrm>
        </xdr:grpSpPr>
        <xdr:grpSp>
          <xdr:nvGrpSpPr>
            <xdr:cNvPr id="29" name="Group 331"/>
            <xdr:cNvGrpSpPr>
              <a:grpSpLocks noChangeAspect="1"/>
            </xdr:cNvGrpSpPr>
          </xdr:nvGrpSpPr>
          <xdr:grpSpPr bwMode="auto">
            <a:xfrm>
              <a:off x="1294" y="3229"/>
              <a:ext cx="185" cy="205"/>
              <a:chOff x="2293" y="3490"/>
              <a:chExt cx="65" cy="72"/>
            </a:xfrm>
          </xdr:grpSpPr>
          <xdr:sp macro="" textlink="">
            <xdr:nvSpPr>
              <xdr:cNvPr id="247" name="Freeform 332"/>
              <xdr:cNvSpPr>
                <a:spLocks noChangeAspect="1"/>
              </xdr:cNvSpPr>
            </xdr:nvSpPr>
            <xdr:spPr bwMode="auto">
              <a:xfrm>
                <a:off x="2332" y="3536"/>
                <a:ext cx="5" cy="6"/>
              </a:xfrm>
              <a:custGeom>
                <a:avLst/>
                <a:gdLst>
                  <a:gd name="T0" fmla="*/ 0 w 39"/>
                  <a:gd name="T1" fmla="*/ 1 h 37"/>
                  <a:gd name="T2" fmla="*/ 0 w 39"/>
                  <a:gd name="T3" fmla="*/ 1 h 37"/>
                  <a:gd name="T4" fmla="*/ 1 w 39"/>
                  <a:gd name="T5" fmla="*/ 0 h 37"/>
                  <a:gd name="T6" fmla="*/ 1 w 39"/>
                  <a:gd name="T7" fmla="*/ 0 h 37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9" h="37">
                    <a:moveTo>
                      <a:pt x="0" y="37"/>
                    </a:moveTo>
                    <a:lnTo>
                      <a:pt x="27" y="26"/>
                    </a:lnTo>
                    <a:lnTo>
                      <a:pt x="38" y="0"/>
                    </a:lnTo>
                    <a:lnTo>
                      <a:pt x="3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" name="Freeform 333"/>
              <xdr:cNvSpPr>
                <a:spLocks noChangeAspect="1"/>
              </xdr:cNvSpPr>
            </xdr:nvSpPr>
            <xdr:spPr bwMode="auto">
              <a:xfrm>
                <a:off x="2327" y="3530"/>
                <a:ext cx="6" cy="7"/>
              </a:xfrm>
              <a:custGeom>
                <a:avLst/>
                <a:gdLst>
                  <a:gd name="T0" fmla="*/ 0 w 48"/>
                  <a:gd name="T1" fmla="*/ 1 h 49"/>
                  <a:gd name="T2" fmla="*/ 1 w 48"/>
                  <a:gd name="T3" fmla="*/ 1 h 49"/>
                  <a:gd name="T4" fmla="*/ 1 w 48"/>
                  <a:gd name="T5" fmla="*/ 0 h 49"/>
                  <a:gd name="T6" fmla="*/ 1 w 48"/>
                  <a:gd name="T7" fmla="*/ 0 h 49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48" h="49">
                    <a:moveTo>
                      <a:pt x="0" y="49"/>
                    </a:moveTo>
                    <a:lnTo>
                      <a:pt x="34" y="35"/>
                    </a:lnTo>
                    <a:lnTo>
                      <a:pt x="47" y="0"/>
                    </a:lnTo>
                    <a:lnTo>
                      <a:pt x="4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" name="Freeform 334"/>
              <xdr:cNvSpPr>
                <a:spLocks noChangeAspect="1"/>
              </xdr:cNvSpPr>
            </xdr:nvSpPr>
            <xdr:spPr bwMode="auto">
              <a:xfrm>
                <a:off x="2326" y="3557"/>
                <a:ext cx="1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0" name="Freeform 335"/>
              <xdr:cNvSpPr>
                <a:spLocks noChangeAspect="1"/>
              </xdr:cNvSpPr>
            </xdr:nvSpPr>
            <xdr:spPr bwMode="auto">
              <a:xfrm>
                <a:off x="2332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1" name="Freeform 336"/>
              <xdr:cNvSpPr>
                <a:spLocks noChangeAspect="1"/>
              </xdr:cNvSpPr>
            </xdr:nvSpPr>
            <xdr:spPr bwMode="auto">
              <a:xfrm>
                <a:off x="2327" y="3524"/>
                <a:ext cx="0" cy="7"/>
              </a:xfrm>
              <a:custGeom>
                <a:avLst/>
                <a:gdLst>
                  <a:gd name="T0" fmla="*/ 0 w 1"/>
                  <a:gd name="T1" fmla="*/ 1 h 50"/>
                  <a:gd name="T2" fmla="*/ 0 w 1"/>
                  <a:gd name="T3" fmla="*/ 0 h 50"/>
                  <a:gd name="T4" fmla="*/ 1 w 1"/>
                  <a:gd name="T5" fmla="*/ 0 h 5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0">
                    <a:moveTo>
                      <a:pt x="0" y="5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2" name="Freeform 337"/>
              <xdr:cNvSpPr>
                <a:spLocks noChangeAspect="1"/>
              </xdr:cNvSpPr>
            </xdr:nvSpPr>
            <xdr:spPr bwMode="auto">
              <a:xfrm>
                <a:off x="2326" y="3513"/>
                <a:ext cx="1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3" name="Freeform 338"/>
              <xdr:cNvSpPr>
                <a:spLocks noChangeAspect="1"/>
              </xdr:cNvSpPr>
            </xdr:nvSpPr>
            <xdr:spPr bwMode="auto">
              <a:xfrm>
                <a:off x="232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4" name="Freeform 339"/>
              <xdr:cNvSpPr>
                <a:spLocks noChangeAspect="1"/>
              </xdr:cNvSpPr>
            </xdr:nvSpPr>
            <xdr:spPr bwMode="auto">
              <a:xfrm>
                <a:off x="2327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5" name="Freeform 340"/>
              <xdr:cNvSpPr>
                <a:spLocks noChangeAspect="1"/>
              </xdr:cNvSpPr>
            </xdr:nvSpPr>
            <xdr:spPr bwMode="auto">
              <a:xfrm>
                <a:off x="2332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6" name="Freeform 341"/>
              <xdr:cNvSpPr>
                <a:spLocks noChangeAspect="1"/>
              </xdr:cNvSpPr>
            </xdr:nvSpPr>
            <xdr:spPr bwMode="auto">
              <a:xfrm>
                <a:off x="2358" y="3510"/>
                <a:ext cx="0" cy="14"/>
              </a:xfrm>
              <a:custGeom>
                <a:avLst/>
                <a:gdLst>
                  <a:gd name="T0" fmla="*/ 0 w 1"/>
                  <a:gd name="T1" fmla="*/ 0 h 97"/>
                  <a:gd name="T2" fmla="*/ 0 w 1"/>
                  <a:gd name="T3" fmla="*/ 2 h 97"/>
                  <a:gd name="T4" fmla="*/ 1 w 1"/>
                  <a:gd name="T5" fmla="*/ 2 h 9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7">
                    <a:moveTo>
                      <a:pt x="0" y="0"/>
                    </a:moveTo>
                    <a:lnTo>
                      <a:pt x="0" y="97"/>
                    </a:lnTo>
                    <a:lnTo>
                      <a:pt x="1" y="9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7" name="Freeform 342"/>
              <xdr:cNvSpPr>
                <a:spLocks noChangeAspect="1"/>
              </xdr:cNvSpPr>
            </xdr:nvSpPr>
            <xdr:spPr bwMode="auto">
              <a:xfrm>
                <a:off x="2348" y="3516"/>
                <a:ext cx="1" cy="8"/>
              </a:xfrm>
              <a:custGeom>
                <a:avLst/>
                <a:gdLst>
                  <a:gd name="T0" fmla="*/ 0 w 1"/>
                  <a:gd name="T1" fmla="*/ 0 h 55"/>
                  <a:gd name="T2" fmla="*/ 0 w 1"/>
                  <a:gd name="T3" fmla="*/ 1 h 55"/>
                  <a:gd name="T4" fmla="*/ 1 w 1"/>
                  <a:gd name="T5" fmla="*/ 1 h 5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5">
                    <a:moveTo>
                      <a:pt x="0" y="0"/>
                    </a:moveTo>
                    <a:lnTo>
                      <a:pt x="0" y="55"/>
                    </a:lnTo>
                    <a:lnTo>
                      <a:pt x="1" y="55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8" name="Freeform 343"/>
              <xdr:cNvSpPr>
                <a:spLocks noChangeAspect="1"/>
              </xdr:cNvSpPr>
            </xdr:nvSpPr>
            <xdr:spPr bwMode="auto">
              <a:xfrm>
                <a:off x="2348" y="3519"/>
                <a:ext cx="7" cy="11"/>
              </a:xfrm>
              <a:custGeom>
                <a:avLst/>
                <a:gdLst>
                  <a:gd name="T0" fmla="*/ 0 w 50"/>
                  <a:gd name="T1" fmla="*/ 2 h 77"/>
                  <a:gd name="T2" fmla="*/ 1 w 50"/>
                  <a:gd name="T3" fmla="*/ 0 h 77"/>
                  <a:gd name="T4" fmla="*/ 1 w 50"/>
                  <a:gd name="T5" fmla="*/ 0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0" h="77">
                    <a:moveTo>
                      <a:pt x="0" y="77"/>
                    </a:moveTo>
                    <a:lnTo>
                      <a:pt x="49" y="0"/>
                    </a:lnTo>
                    <a:lnTo>
                      <a:pt x="5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9" name="Freeform 344"/>
              <xdr:cNvSpPr>
                <a:spLocks noChangeAspect="1"/>
              </xdr:cNvSpPr>
            </xdr:nvSpPr>
            <xdr:spPr bwMode="auto">
              <a:xfrm>
                <a:off x="2347" y="3545"/>
                <a:ext cx="2" cy="2"/>
              </a:xfrm>
              <a:custGeom>
                <a:avLst/>
                <a:gdLst>
                  <a:gd name="T0" fmla="*/ 0 w 8"/>
                  <a:gd name="T1" fmla="*/ 0 h 13"/>
                  <a:gd name="T2" fmla="*/ 1 w 8"/>
                  <a:gd name="T3" fmla="*/ 0 h 13"/>
                  <a:gd name="T4" fmla="*/ 1 w 8"/>
                  <a:gd name="T5" fmla="*/ 0 h 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13">
                    <a:moveTo>
                      <a:pt x="0" y="13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0" name="Freeform 345"/>
              <xdr:cNvSpPr>
                <a:spLocks noChangeAspect="1"/>
              </xdr:cNvSpPr>
            </xdr:nvSpPr>
            <xdr:spPr bwMode="auto">
              <a:xfrm>
                <a:off x="2347" y="3547"/>
                <a:ext cx="1" cy="2"/>
              </a:xfrm>
              <a:custGeom>
                <a:avLst/>
                <a:gdLst>
                  <a:gd name="T0" fmla="*/ 0 w 7"/>
                  <a:gd name="T1" fmla="*/ 0 h 14"/>
                  <a:gd name="T2" fmla="*/ 0 w 7"/>
                  <a:gd name="T3" fmla="*/ 0 h 14"/>
                  <a:gd name="T4" fmla="*/ 0 w 7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14">
                    <a:moveTo>
                      <a:pt x="7" y="1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1" name="Freeform 346"/>
              <xdr:cNvSpPr>
                <a:spLocks noChangeAspect="1"/>
              </xdr:cNvSpPr>
            </xdr:nvSpPr>
            <xdr:spPr bwMode="auto">
              <a:xfrm>
                <a:off x="2347" y="3557"/>
                <a:ext cx="1" cy="3"/>
              </a:xfrm>
              <a:custGeom>
                <a:avLst/>
                <a:gdLst>
                  <a:gd name="T0" fmla="*/ 0 w 7"/>
                  <a:gd name="T1" fmla="*/ 0 h 23"/>
                  <a:gd name="T2" fmla="*/ 0 w 7"/>
                  <a:gd name="T3" fmla="*/ 0 h 23"/>
                  <a:gd name="T4" fmla="*/ 0 w 7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23">
                    <a:moveTo>
                      <a:pt x="7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2" name="Freeform 347"/>
              <xdr:cNvSpPr>
                <a:spLocks noChangeAspect="1"/>
              </xdr:cNvSpPr>
            </xdr:nvSpPr>
            <xdr:spPr bwMode="auto">
              <a:xfrm>
                <a:off x="2337" y="3549"/>
                <a:ext cx="11" cy="0"/>
              </a:xfrm>
              <a:custGeom>
                <a:avLst/>
                <a:gdLst>
                  <a:gd name="T0" fmla="*/ 1 w 91"/>
                  <a:gd name="T1" fmla="*/ 0 w 91"/>
                  <a:gd name="T2" fmla="*/ 0 w 91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1">
                    <a:moveTo>
                      <a:pt x="91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3" name="Freeform 348"/>
              <xdr:cNvSpPr>
                <a:spLocks noChangeAspect="1"/>
              </xdr:cNvSpPr>
            </xdr:nvSpPr>
            <xdr:spPr bwMode="auto">
              <a:xfrm>
                <a:off x="2347" y="3524"/>
                <a:ext cx="1" cy="2"/>
              </a:xfrm>
              <a:custGeom>
                <a:avLst/>
                <a:gdLst>
                  <a:gd name="T0" fmla="*/ 0 w 7"/>
                  <a:gd name="T1" fmla="*/ 0 h 14"/>
                  <a:gd name="T2" fmla="*/ 0 w 7"/>
                  <a:gd name="T3" fmla="*/ 0 h 14"/>
                  <a:gd name="T4" fmla="*/ 0 w 7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14">
                    <a:moveTo>
                      <a:pt x="7" y="0"/>
                    </a:moveTo>
                    <a:lnTo>
                      <a:pt x="0" y="14"/>
                    </a:lnTo>
                    <a:lnTo>
                      <a:pt x="1" y="1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4" name="Freeform 349"/>
              <xdr:cNvSpPr>
                <a:spLocks noChangeAspect="1"/>
              </xdr:cNvSpPr>
            </xdr:nvSpPr>
            <xdr:spPr bwMode="auto">
              <a:xfrm>
                <a:off x="2347" y="3526"/>
                <a:ext cx="2" cy="2"/>
              </a:xfrm>
              <a:custGeom>
                <a:avLst/>
                <a:gdLst>
                  <a:gd name="T0" fmla="*/ 0 w 8"/>
                  <a:gd name="T1" fmla="*/ 0 h 13"/>
                  <a:gd name="T2" fmla="*/ 1 w 8"/>
                  <a:gd name="T3" fmla="*/ 0 h 13"/>
                  <a:gd name="T4" fmla="*/ 1 w 8"/>
                  <a:gd name="T5" fmla="*/ 0 h 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13">
                    <a:moveTo>
                      <a:pt x="0" y="0"/>
                    </a:moveTo>
                    <a:lnTo>
                      <a:pt x="7" y="13"/>
                    </a:lnTo>
                    <a:lnTo>
                      <a:pt x="8" y="1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5" name="Freeform 350"/>
              <xdr:cNvSpPr>
                <a:spLocks noChangeAspect="1"/>
              </xdr:cNvSpPr>
            </xdr:nvSpPr>
            <xdr:spPr bwMode="auto">
              <a:xfrm>
                <a:off x="2337" y="3524"/>
                <a:ext cx="11" cy="0"/>
              </a:xfrm>
              <a:custGeom>
                <a:avLst/>
                <a:gdLst>
                  <a:gd name="T0" fmla="*/ 1 w 91"/>
                  <a:gd name="T1" fmla="*/ 0 w 91"/>
                  <a:gd name="T2" fmla="*/ 0 w 91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1">
                    <a:moveTo>
                      <a:pt x="91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6" name="Freeform 351"/>
              <xdr:cNvSpPr>
                <a:spLocks noChangeAspect="1"/>
              </xdr:cNvSpPr>
            </xdr:nvSpPr>
            <xdr:spPr bwMode="auto">
              <a:xfrm>
                <a:off x="2333" y="3525"/>
                <a:ext cx="0" cy="5"/>
              </a:xfrm>
              <a:custGeom>
                <a:avLst/>
                <a:gdLst>
                  <a:gd name="T0" fmla="*/ 0 w 1"/>
                  <a:gd name="T1" fmla="*/ 1 h 31"/>
                  <a:gd name="T2" fmla="*/ 0 w 1"/>
                  <a:gd name="T3" fmla="*/ 0 h 31"/>
                  <a:gd name="T4" fmla="*/ 1 w 1"/>
                  <a:gd name="T5" fmla="*/ 0 h 3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1">
                    <a:moveTo>
                      <a:pt x="0" y="3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7" name="Freeform 352"/>
              <xdr:cNvSpPr>
                <a:spLocks noChangeAspect="1"/>
              </xdr:cNvSpPr>
            </xdr:nvSpPr>
            <xdr:spPr bwMode="auto">
              <a:xfrm>
                <a:off x="2337" y="3524"/>
                <a:ext cx="0" cy="12"/>
              </a:xfrm>
              <a:custGeom>
                <a:avLst/>
                <a:gdLst>
                  <a:gd name="T0" fmla="*/ 0 w 1"/>
                  <a:gd name="T1" fmla="*/ 2 h 89"/>
                  <a:gd name="T2" fmla="*/ 0 w 1"/>
                  <a:gd name="T3" fmla="*/ 0 h 89"/>
                  <a:gd name="T4" fmla="*/ 1 w 1"/>
                  <a:gd name="T5" fmla="*/ 0 h 8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89">
                    <a:moveTo>
                      <a:pt x="0" y="89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8" name="Freeform 353"/>
              <xdr:cNvSpPr>
                <a:spLocks noChangeAspect="1"/>
              </xdr:cNvSpPr>
            </xdr:nvSpPr>
            <xdr:spPr bwMode="auto">
              <a:xfrm>
                <a:off x="2345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9" name="Freeform 354"/>
              <xdr:cNvSpPr>
                <a:spLocks noChangeAspect="1"/>
              </xdr:cNvSpPr>
            </xdr:nvSpPr>
            <xdr:spPr bwMode="auto">
              <a:xfrm>
                <a:off x="2337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0" name="Freeform 355"/>
              <xdr:cNvSpPr>
                <a:spLocks noChangeAspect="1"/>
              </xdr:cNvSpPr>
            </xdr:nvSpPr>
            <xdr:spPr bwMode="auto">
              <a:xfrm>
                <a:off x="2341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1" name="Freeform 356"/>
              <xdr:cNvSpPr>
                <a:spLocks noChangeAspect="1"/>
              </xdr:cNvSpPr>
            </xdr:nvSpPr>
            <xdr:spPr bwMode="auto">
              <a:xfrm>
                <a:off x="2348" y="3528"/>
                <a:ext cx="1" cy="17"/>
              </a:xfrm>
              <a:custGeom>
                <a:avLst/>
                <a:gdLst>
                  <a:gd name="T0" fmla="*/ 0 w 1"/>
                  <a:gd name="T1" fmla="*/ 0 h 120"/>
                  <a:gd name="T2" fmla="*/ 0 w 1"/>
                  <a:gd name="T3" fmla="*/ 2 h 120"/>
                  <a:gd name="T4" fmla="*/ 1 w 1"/>
                  <a:gd name="T5" fmla="*/ 2 h 12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20">
                    <a:moveTo>
                      <a:pt x="0" y="0"/>
                    </a:moveTo>
                    <a:lnTo>
                      <a:pt x="0" y="120"/>
                    </a:lnTo>
                    <a:lnTo>
                      <a:pt x="1" y="12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2" name="Freeform 357"/>
              <xdr:cNvSpPr>
                <a:spLocks noChangeAspect="1"/>
              </xdr:cNvSpPr>
            </xdr:nvSpPr>
            <xdr:spPr bwMode="auto">
              <a:xfrm>
                <a:off x="2350" y="3530"/>
                <a:ext cx="0" cy="13"/>
              </a:xfrm>
              <a:custGeom>
                <a:avLst/>
                <a:gdLst>
                  <a:gd name="T0" fmla="*/ 0 w 1"/>
                  <a:gd name="T1" fmla="*/ 0 h 90"/>
                  <a:gd name="T2" fmla="*/ 0 w 1"/>
                  <a:gd name="T3" fmla="*/ 2 h 90"/>
                  <a:gd name="T4" fmla="*/ 1 w 1"/>
                  <a:gd name="T5" fmla="*/ 2 h 9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0">
                    <a:moveTo>
                      <a:pt x="0" y="0"/>
                    </a:moveTo>
                    <a:lnTo>
                      <a:pt x="0" y="90"/>
                    </a:lnTo>
                    <a:lnTo>
                      <a:pt x="1" y="9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3" name="Freeform 358"/>
              <xdr:cNvSpPr>
                <a:spLocks noChangeAspect="1"/>
              </xdr:cNvSpPr>
            </xdr:nvSpPr>
            <xdr:spPr bwMode="auto">
              <a:xfrm>
                <a:off x="2356" y="3530"/>
                <a:ext cx="0" cy="12"/>
              </a:xfrm>
              <a:custGeom>
                <a:avLst/>
                <a:gdLst>
                  <a:gd name="T0" fmla="*/ 0 w 1"/>
                  <a:gd name="T1" fmla="*/ 0 h 82"/>
                  <a:gd name="T2" fmla="*/ 0 w 1"/>
                  <a:gd name="T3" fmla="*/ 2 h 82"/>
                  <a:gd name="T4" fmla="*/ 1 w 1"/>
                  <a:gd name="T5" fmla="*/ 2 h 8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82">
                    <a:moveTo>
                      <a:pt x="0" y="0"/>
                    </a:moveTo>
                    <a:lnTo>
                      <a:pt x="0" y="82"/>
                    </a:lnTo>
                    <a:lnTo>
                      <a:pt x="1" y="8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4" name="Freeform 359"/>
              <xdr:cNvSpPr>
                <a:spLocks noChangeAspect="1"/>
              </xdr:cNvSpPr>
            </xdr:nvSpPr>
            <xdr:spPr bwMode="auto">
              <a:xfrm>
                <a:off x="2354" y="3562"/>
                <a:ext cx="4" cy="0"/>
              </a:xfrm>
              <a:custGeom>
                <a:avLst/>
                <a:gdLst>
                  <a:gd name="T0" fmla="*/ 0 w 30"/>
                  <a:gd name="T1" fmla="*/ 1 w 30"/>
                  <a:gd name="T2" fmla="*/ 1 w 3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">
                    <a:moveTo>
                      <a:pt x="0" y="0"/>
                    </a:moveTo>
                    <a:lnTo>
                      <a:pt x="29" y="0"/>
                    </a:lnTo>
                    <a:lnTo>
                      <a:pt x="3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5" name="Freeform 360"/>
              <xdr:cNvSpPr>
                <a:spLocks noChangeAspect="1"/>
              </xdr:cNvSpPr>
            </xdr:nvSpPr>
            <xdr:spPr bwMode="auto">
              <a:xfrm>
                <a:off x="2348" y="3542"/>
                <a:ext cx="7" cy="11"/>
              </a:xfrm>
              <a:custGeom>
                <a:avLst/>
                <a:gdLst>
                  <a:gd name="T0" fmla="*/ 0 w 50"/>
                  <a:gd name="T1" fmla="*/ 0 h 77"/>
                  <a:gd name="T2" fmla="*/ 1 w 50"/>
                  <a:gd name="T3" fmla="*/ 2 h 77"/>
                  <a:gd name="T4" fmla="*/ 1 w 50"/>
                  <a:gd name="T5" fmla="*/ 2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0" h="77">
                    <a:moveTo>
                      <a:pt x="0" y="0"/>
                    </a:moveTo>
                    <a:lnTo>
                      <a:pt x="49" y="77"/>
                    </a:lnTo>
                    <a:lnTo>
                      <a:pt x="50" y="7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6" name="Freeform 361"/>
              <xdr:cNvSpPr>
                <a:spLocks noChangeAspect="1"/>
              </xdr:cNvSpPr>
            </xdr:nvSpPr>
            <xdr:spPr bwMode="auto">
              <a:xfrm>
                <a:off x="2348" y="3549"/>
                <a:ext cx="1" cy="8"/>
              </a:xfrm>
              <a:custGeom>
                <a:avLst/>
                <a:gdLst>
                  <a:gd name="T0" fmla="*/ 0 w 1"/>
                  <a:gd name="T1" fmla="*/ 1 h 55"/>
                  <a:gd name="T2" fmla="*/ 0 w 1"/>
                  <a:gd name="T3" fmla="*/ 0 h 55"/>
                  <a:gd name="T4" fmla="*/ 1 w 1"/>
                  <a:gd name="T5" fmla="*/ 0 h 5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5">
                    <a:moveTo>
                      <a:pt x="0" y="5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7" name="Freeform 362"/>
              <xdr:cNvSpPr>
                <a:spLocks noChangeAspect="1"/>
              </xdr:cNvSpPr>
            </xdr:nvSpPr>
            <xdr:spPr bwMode="auto">
              <a:xfrm>
                <a:off x="2354" y="3553"/>
                <a:ext cx="1" cy="9"/>
              </a:xfrm>
              <a:custGeom>
                <a:avLst/>
                <a:gdLst>
                  <a:gd name="T0" fmla="*/ 0 w 1"/>
                  <a:gd name="T1" fmla="*/ 0 h 63"/>
                  <a:gd name="T2" fmla="*/ 0 w 1"/>
                  <a:gd name="T3" fmla="*/ 1 h 63"/>
                  <a:gd name="T4" fmla="*/ 1 w 1"/>
                  <a:gd name="T5" fmla="*/ 1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0"/>
                    </a:moveTo>
                    <a:lnTo>
                      <a:pt x="0" y="63"/>
                    </a:lnTo>
                    <a:lnTo>
                      <a:pt x="1" y="6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8" name="Freeform 363"/>
              <xdr:cNvSpPr>
                <a:spLocks noChangeAspect="1"/>
              </xdr:cNvSpPr>
            </xdr:nvSpPr>
            <xdr:spPr bwMode="auto">
              <a:xfrm>
                <a:off x="2356" y="3542"/>
                <a:ext cx="2" cy="6"/>
              </a:xfrm>
              <a:custGeom>
                <a:avLst/>
                <a:gdLst>
                  <a:gd name="T0" fmla="*/ 0 w 19"/>
                  <a:gd name="T1" fmla="*/ 1 h 43"/>
                  <a:gd name="T2" fmla="*/ 0 w 19"/>
                  <a:gd name="T3" fmla="*/ 0 h 43"/>
                  <a:gd name="T4" fmla="*/ 0 w 19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43">
                    <a:moveTo>
                      <a:pt x="19" y="4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9" name="Freeform 364"/>
              <xdr:cNvSpPr>
                <a:spLocks noChangeAspect="1"/>
              </xdr:cNvSpPr>
            </xdr:nvSpPr>
            <xdr:spPr bwMode="auto">
              <a:xfrm>
                <a:off x="2358" y="3548"/>
                <a:ext cx="0" cy="14"/>
              </a:xfrm>
              <a:custGeom>
                <a:avLst/>
                <a:gdLst>
                  <a:gd name="T0" fmla="*/ 0 w 1"/>
                  <a:gd name="T1" fmla="*/ 2 h 98"/>
                  <a:gd name="T2" fmla="*/ 0 w 1"/>
                  <a:gd name="T3" fmla="*/ 0 h 98"/>
                  <a:gd name="T4" fmla="*/ 1 w 1"/>
                  <a:gd name="T5" fmla="*/ 0 h 9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8">
                    <a:moveTo>
                      <a:pt x="0" y="9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0" name="Freeform 365"/>
              <xdr:cNvSpPr>
                <a:spLocks noChangeAspect="1"/>
              </xdr:cNvSpPr>
            </xdr:nvSpPr>
            <xdr:spPr bwMode="auto">
              <a:xfrm>
                <a:off x="2356" y="3524"/>
                <a:ext cx="2" cy="6"/>
              </a:xfrm>
              <a:custGeom>
                <a:avLst/>
                <a:gdLst>
                  <a:gd name="T0" fmla="*/ 0 w 19"/>
                  <a:gd name="T1" fmla="*/ 0 h 43"/>
                  <a:gd name="T2" fmla="*/ 0 w 19"/>
                  <a:gd name="T3" fmla="*/ 1 h 43"/>
                  <a:gd name="T4" fmla="*/ 0 w 19"/>
                  <a:gd name="T5" fmla="*/ 1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43">
                    <a:moveTo>
                      <a:pt x="19" y="0"/>
                    </a:moveTo>
                    <a:lnTo>
                      <a:pt x="0" y="43"/>
                    </a:lnTo>
                    <a:lnTo>
                      <a:pt x="1" y="4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1" name="Freeform 366"/>
              <xdr:cNvSpPr>
                <a:spLocks noChangeAspect="1"/>
              </xdr:cNvSpPr>
            </xdr:nvSpPr>
            <xdr:spPr bwMode="auto">
              <a:xfrm>
                <a:off x="2347" y="3513"/>
                <a:ext cx="1" cy="3"/>
              </a:xfrm>
              <a:custGeom>
                <a:avLst/>
                <a:gdLst>
                  <a:gd name="T0" fmla="*/ 0 w 7"/>
                  <a:gd name="T1" fmla="*/ 0 h 23"/>
                  <a:gd name="T2" fmla="*/ 0 w 7"/>
                  <a:gd name="T3" fmla="*/ 0 h 23"/>
                  <a:gd name="T4" fmla="*/ 0 w 7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23">
                    <a:moveTo>
                      <a:pt x="7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2" name="Freeform 367"/>
              <xdr:cNvSpPr>
                <a:spLocks noChangeAspect="1"/>
              </xdr:cNvSpPr>
            </xdr:nvSpPr>
            <xdr:spPr bwMode="auto">
              <a:xfrm>
                <a:off x="2335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3" name="Freeform 368"/>
              <xdr:cNvSpPr>
                <a:spLocks noChangeAspect="1"/>
              </xdr:cNvSpPr>
            </xdr:nvSpPr>
            <xdr:spPr bwMode="auto">
              <a:xfrm>
                <a:off x="2345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4" name="Freeform 369"/>
              <xdr:cNvSpPr>
                <a:spLocks noChangeAspect="1"/>
              </xdr:cNvSpPr>
            </xdr:nvSpPr>
            <xdr:spPr bwMode="auto">
              <a:xfrm>
                <a:off x="2341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5" name="Freeform 370"/>
              <xdr:cNvSpPr>
                <a:spLocks noChangeAspect="1"/>
              </xdr:cNvSpPr>
            </xdr:nvSpPr>
            <xdr:spPr bwMode="auto">
              <a:xfrm>
                <a:off x="2337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6" name="Freeform 371"/>
              <xdr:cNvSpPr>
                <a:spLocks noChangeAspect="1"/>
              </xdr:cNvSpPr>
            </xdr:nvSpPr>
            <xdr:spPr bwMode="auto">
              <a:xfrm>
                <a:off x="2348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7" name="Freeform 372"/>
              <xdr:cNvSpPr>
                <a:spLocks noChangeAspect="1"/>
              </xdr:cNvSpPr>
            </xdr:nvSpPr>
            <xdr:spPr bwMode="auto">
              <a:xfrm>
                <a:off x="2344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8" name="Freeform 373"/>
              <xdr:cNvSpPr>
                <a:spLocks noChangeAspect="1"/>
              </xdr:cNvSpPr>
            </xdr:nvSpPr>
            <xdr:spPr bwMode="auto">
              <a:xfrm>
                <a:off x="2345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9" name="Freeform 374"/>
              <xdr:cNvSpPr>
                <a:spLocks noChangeAspect="1"/>
              </xdr:cNvSpPr>
            </xdr:nvSpPr>
            <xdr:spPr bwMode="auto">
              <a:xfrm>
                <a:off x="233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0" name="Freeform 375"/>
              <xdr:cNvSpPr>
                <a:spLocks noChangeAspect="1"/>
              </xdr:cNvSpPr>
            </xdr:nvSpPr>
            <xdr:spPr bwMode="auto">
              <a:xfrm>
                <a:off x="2336" y="3506"/>
                <a:ext cx="1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1" name="Freeform 376"/>
              <xdr:cNvSpPr>
                <a:spLocks noChangeAspect="1"/>
              </xdr:cNvSpPr>
            </xdr:nvSpPr>
            <xdr:spPr bwMode="auto">
              <a:xfrm>
                <a:off x="2342" y="3490"/>
                <a:ext cx="0" cy="6"/>
              </a:xfrm>
              <a:custGeom>
                <a:avLst/>
                <a:gdLst>
                  <a:gd name="T0" fmla="*/ 0 w 2"/>
                  <a:gd name="T1" fmla="*/ 1 h 41"/>
                  <a:gd name="T2" fmla="*/ 0 w 2"/>
                  <a:gd name="T3" fmla="*/ 0 h 41"/>
                  <a:gd name="T4" fmla="*/ 1 w 2"/>
                  <a:gd name="T5" fmla="*/ 0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41">
                    <a:moveTo>
                      <a:pt x="0" y="41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2" name="Freeform 377"/>
              <xdr:cNvSpPr>
                <a:spLocks noChangeAspect="1"/>
              </xdr:cNvSpPr>
            </xdr:nvSpPr>
            <xdr:spPr bwMode="auto">
              <a:xfrm>
                <a:off x="2344" y="3496"/>
                <a:ext cx="0" cy="3"/>
              </a:xfrm>
              <a:custGeom>
                <a:avLst/>
                <a:gdLst>
                  <a:gd name="T0" fmla="*/ 0 w 2"/>
                  <a:gd name="T1" fmla="*/ 0 h 24"/>
                  <a:gd name="T2" fmla="*/ 0 w 2"/>
                  <a:gd name="T3" fmla="*/ 0 h 24"/>
                  <a:gd name="T4" fmla="*/ 1 w 2"/>
                  <a:gd name="T5" fmla="*/ 0 h 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24">
                    <a:moveTo>
                      <a:pt x="0" y="0"/>
                    </a:moveTo>
                    <a:lnTo>
                      <a:pt x="0" y="24"/>
                    </a:lnTo>
                    <a:lnTo>
                      <a:pt x="2" y="2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3" name="Freeform 378"/>
              <xdr:cNvSpPr>
                <a:spLocks noChangeAspect="1"/>
              </xdr:cNvSpPr>
            </xdr:nvSpPr>
            <xdr:spPr bwMode="auto">
              <a:xfrm>
                <a:off x="2354" y="3510"/>
                <a:ext cx="1" cy="9"/>
              </a:xfrm>
              <a:custGeom>
                <a:avLst/>
                <a:gdLst>
                  <a:gd name="T0" fmla="*/ 0 w 1"/>
                  <a:gd name="T1" fmla="*/ 1 h 62"/>
                  <a:gd name="T2" fmla="*/ 0 w 1"/>
                  <a:gd name="T3" fmla="*/ 0 h 62"/>
                  <a:gd name="T4" fmla="*/ 1 w 1"/>
                  <a:gd name="T5" fmla="*/ 0 h 6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2">
                    <a:moveTo>
                      <a:pt x="0" y="6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4" name="Freeform 379"/>
              <xdr:cNvSpPr>
                <a:spLocks noChangeAspect="1"/>
              </xdr:cNvSpPr>
            </xdr:nvSpPr>
            <xdr:spPr bwMode="auto">
              <a:xfrm>
                <a:off x="2354" y="3510"/>
                <a:ext cx="4" cy="0"/>
              </a:xfrm>
              <a:custGeom>
                <a:avLst/>
                <a:gdLst>
                  <a:gd name="T0" fmla="*/ 0 w 30"/>
                  <a:gd name="T1" fmla="*/ 1 w 30"/>
                  <a:gd name="T2" fmla="*/ 1 w 3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">
                    <a:moveTo>
                      <a:pt x="0" y="0"/>
                    </a:moveTo>
                    <a:lnTo>
                      <a:pt x="29" y="0"/>
                    </a:lnTo>
                    <a:lnTo>
                      <a:pt x="3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5" name="Freeform 380"/>
              <xdr:cNvSpPr>
                <a:spLocks noChangeAspect="1"/>
              </xdr:cNvSpPr>
            </xdr:nvSpPr>
            <xdr:spPr bwMode="auto">
              <a:xfrm>
                <a:off x="2351" y="3490"/>
                <a:ext cx="0" cy="6"/>
              </a:xfrm>
              <a:custGeom>
                <a:avLst/>
                <a:gdLst>
                  <a:gd name="T0" fmla="*/ 0 w 1"/>
                  <a:gd name="T1" fmla="*/ 0 h 41"/>
                  <a:gd name="T2" fmla="*/ 0 w 1"/>
                  <a:gd name="T3" fmla="*/ 1 h 41"/>
                  <a:gd name="T4" fmla="*/ 1 w 1"/>
                  <a:gd name="T5" fmla="*/ 1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0"/>
                    </a:moveTo>
                    <a:lnTo>
                      <a:pt x="0" y="41"/>
                    </a:lnTo>
                    <a:lnTo>
                      <a:pt x="1" y="41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6" name="Freeform 381"/>
              <xdr:cNvSpPr>
                <a:spLocks noChangeAspect="1"/>
              </xdr:cNvSpPr>
            </xdr:nvSpPr>
            <xdr:spPr bwMode="auto">
              <a:xfrm>
                <a:off x="2315" y="3516"/>
                <a:ext cx="2" cy="6"/>
              </a:xfrm>
              <a:custGeom>
                <a:avLst/>
                <a:gdLst>
                  <a:gd name="T0" fmla="*/ 0 w 16"/>
                  <a:gd name="T1" fmla="*/ 1 h 39"/>
                  <a:gd name="T2" fmla="*/ 0 w 16"/>
                  <a:gd name="T3" fmla="*/ 0 h 39"/>
                  <a:gd name="T4" fmla="*/ 0 w 16"/>
                  <a:gd name="T5" fmla="*/ 0 h 3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6" h="39">
                    <a:moveTo>
                      <a:pt x="16" y="39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7" name="Freeform 382"/>
              <xdr:cNvSpPr>
                <a:spLocks noChangeAspect="1"/>
              </xdr:cNvSpPr>
            </xdr:nvSpPr>
            <xdr:spPr bwMode="auto">
              <a:xfrm>
                <a:off x="2319" y="3536"/>
                <a:ext cx="5" cy="1"/>
              </a:xfrm>
              <a:custGeom>
                <a:avLst/>
                <a:gdLst>
                  <a:gd name="T0" fmla="*/ 1 w 38"/>
                  <a:gd name="T1" fmla="*/ 0 h 13"/>
                  <a:gd name="T2" fmla="*/ 1 w 38"/>
                  <a:gd name="T3" fmla="*/ 0 h 13"/>
                  <a:gd name="T4" fmla="*/ 0 w 38"/>
                  <a:gd name="T5" fmla="*/ 0 h 13"/>
                  <a:gd name="T6" fmla="*/ 1 w 38"/>
                  <a:gd name="T7" fmla="*/ 0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8" h="13">
                    <a:moveTo>
                      <a:pt x="38" y="0"/>
                    </a:moveTo>
                    <a:lnTo>
                      <a:pt x="38" y="13"/>
                    </a:lnTo>
                    <a:lnTo>
                      <a:pt x="0" y="7"/>
                    </a:lnTo>
                    <a:lnTo>
                      <a:pt x="38" y="0"/>
                    </a:lnTo>
                    <a:close/>
                  </a:path>
                </a:pathLst>
              </a:custGeom>
              <a:solidFill>
                <a:srgbClr val="00000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98" name="Freeform 383"/>
              <xdr:cNvSpPr>
                <a:spLocks noChangeAspect="1"/>
              </xdr:cNvSpPr>
            </xdr:nvSpPr>
            <xdr:spPr bwMode="auto">
              <a:xfrm>
                <a:off x="2319" y="3536"/>
                <a:ext cx="5" cy="1"/>
              </a:xfrm>
              <a:custGeom>
                <a:avLst/>
                <a:gdLst>
                  <a:gd name="T0" fmla="*/ 1 w 38"/>
                  <a:gd name="T1" fmla="*/ 0 h 13"/>
                  <a:gd name="T2" fmla="*/ 1 w 38"/>
                  <a:gd name="T3" fmla="*/ 0 h 13"/>
                  <a:gd name="T4" fmla="*/ 0 w 38"/>
                  <a:gd name="T5" fmla="*/ 0 h 13"/>
                  <a:gd name="T6" fmla="*/ 1 w 38"/>
                  <a:gd name="T7" fmla="*/ 0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8" h="13">
                    <a:moveTo>
                      <a:pt x="38" y="0"/>
                    </a:moveTo>
                    <a:lnTo>
                      <a:pt x="38" y="13"/>
                    </a:lnTo>
                    <a:lnTo>
                      <a:pt x="0" y="7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9" name="Freeform 384"/>
              <xdr:cNvSpPr>
                <a:spLocks noChangeAspect="1"/>
              </xdr:cNvSpPr>
            </xdr:nvSpPr>
            <xdr:spPr bwMode="auto">
              <a:xfrm>
                <a:off x="2295" y="3523"/>
                <a:ext cx="0" cy="27"/>
              </a:xfrm>
              <a:custGeom>
                <a:avLst/>
                <a:gdLst>
                  <a:gd name="T0" fmla="*/ 0 w 1"/>
                  <a:gd name="T1" fmla="*/ 0 h 192"/>
                  <a:gd name="T2" fmla="*/ 0 w 1"/>
                  <a:gd name="T3" fmla="*/ 4 h 192"/>
                  <a:gd name="T4" fmla="*/ 1 w 1"/>
                  <a:gd name="T5" fmla="*/ 4 h 1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2">
                    <a:moveTo>
                      <a:pt x="0" y="0"/>
                    </a:moveTo>
                    <a:lnTo>
                      <a:pt x="0" y="192"/>
                    </a:lnTo>
                    <a:lnTo>
                      <a:pt x="1" y="19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0" name="Freeform 385"/>
              <xdr:cNvSpPr>
                <a:spLocks noChangeAspect="1"/>
              </xdr:cNvSpPr>
            </xdr:nvSpPr>
            <xdr:spPr bwMode="auto">
              <a:xfrm>
                <a:off x="2295" y="3550"/>
                <a:ext cx="17" cy="0"/>
              </a:xfrm>
              <a:custGeom>
                <a:avLst/>
                <a:gdLst>
                  <a:gd name="T0" fmla="*/ 0 w 137"/>
                  <a:gd name="T1" fmla="*/ 2 w 137"/>
                  <a:gd name="T2" fmla="*/ 2 w 13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37">
                    <a:moveTo>
                      <a:pt x="0" y="0"/>
                    </a:moveTo>
                    <a:lnTo>
                      <a:pt x="136" y="0"/>
                    </a:lnTo>
                    <a:lnTo>
                      <a:pt x="1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1" name="Freeform 386"/>
              <xdr:cNvSpPr>
                <a:spLocks noChangeAspect="1"/>
              </xdr:cNvSpPr>
            </xdr:nvSpPr>
            <xdr:spPr bwMode="auto">
              <a:xfrm>
                <a:off x="2293" y="3546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2" name="Freeform 387"/>
              <xdr:cNvSpPr>
                <a:spLocks noChangeAspect="1"/>
              </xdr:cNvSpPr>
            </xdr:nvSpPr>
            <xdr:spPr bwMode="auto">
              <a:xfrm>
                <a:off x="2312" y="3547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3" name="Freeform 388"/>
              <xdr:cNvSpPr>
                <a:spLocks noChangeAspect="1"/>
              </xdr:cNvSpPr>
            </xdr:nvSpPr>
            <xdr:spPr bwMode="auto">
              <a:xfrm>
                <a:off x="2315" y="3551"/>
                <a:ext cx="2" cy="6"/>
              </a:xfrm>
              <a:custGeom>
                <a:avLst/>
                <a:gdLst>
                  <a:gd name="T0" fmla="*/ 0 w 16"/>
                  <a:gd name="T1" fmla="*/ 0 h 38"/>
                  <a:gd name="T2" fmla="*/ 0 w 16"/>
                  <a:gd name="T3" fmla="*/ 1 h 38"/>
                  <a:gd name="T4" fmla="*/ 0 w 16"/>
                  <a:gd name="T5" fmla="*/ 1 h 3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6" h="38">
                    <a:moveTo>
                      <a:pt x="16" y="0"/>
                    </a:moveTo>
                    <a:lnTo>
                      <a:pt x="0" y="38"/>
                    </a:lnTo>
                    <a:lnTo>
                      <a:pt x="1" y="38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4" name="Freeform 389"/>
              <xdr:cNvSpPr>
                <a:spLocks noChangeAspect="1"/>
              </xdr:cNvSpPr>
            </xdr:nvSpPr>
            <xdr:spPr bwMode="auto">
              <a:xfrm>
                <a:off x="2315" y="3547"/>
                <a:ext cx="2" cy="2"/>
              </a:xfrm>
              <a:custGeom>
                <a:avLst/>
                <a:gdLst>
                  <a:gd name="T0" fmla="*/ 0 w 14"/>
                  <a:gd name="T1" fmla="*/ 0 h 14"/>
                  <a:gd name="T2" fmla="*/ 0 w 14"/>
                  <a:gd name="T3" fmla="*/ 0 h 14"/>
                  <a:gd name="T4" fmla="*/ 0 w 14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4" h="14">
                    <a:moveTo>
                      <a:pt x="0" y="0"/>
                    </a:moveTo>
                    <a:lnTo>
                      <a:pt x="13" y="14"/>
                    </a:lnTo>
                    <a:lnTo>
                      <a:pt x="14" y="1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5" name="Freeform 390"/>
              <xdr:cNvSpPr>
                <a:spLocks noChangeAspect="1"/>
              </xdr:cNvSpPr>
            </xdr:nvSpPr>
            <xdr:spPr bwMode="auto">
              <a:xfrm>
                <a:off x="2317" y="3549"/>
                <a:ext cx="0" cy="2"/>
              </a:xfrm>
              <a:custGeom>
                <a:avLst/>
                <a:gdLst>
                  <a:gd name="T0" fmla="*/ 1 w 2"/>
                  <a:gd name="T1" fmla="*/ 0 h 16"/>
                  <a:gd name="T2" fmla="*/ 0 w 2"/>
                  <a:gd name="T3" fmla="*/ 0 h 16"/>
                  <a:gd name="T4" fmla="*/ 1 w 2"/>
                  <a:gd name="T5" fmla="*/ 0 h 1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16">
                    <a:moveTo>
                      <a:pt x="2" y="0"/>
                    </a:moveTo>
                    <a:lnTo>
                      <a:pt x="0" y="16"/>
                    </a:lnTo>
                    <a:lnTo>
                      <a:pt x="1" y="1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6" name="Freeform 391"/>
              <xdr:cNvSpPr>
                <a:spLocks noChangeAspect="1"/>
              </xdr:cNvSpPr>
            </xdr:nvSpPr>
            <xdr:spPr bwMode="auto">
              <a:xfrm>
                <a:off x="2315" y="3557"/>
                <a:ext cx="1" cy="3"/>
              </a:xfrm>
              <a:custGeom>
                <a:avLst/>
                <a:gdLst>
                  <a:gd name="T0" fmla="*/ 0 w 8"/>
                  <a:gd name="T1" fmla="*/ 0 h 23"/>
                  <a:gd name="T2" fmla="*/ 0 w 8"/>
                  <a:gd name="T3" fmla="*/ 0 h 23"/>
                  <a:gd name="T4" fmla="*/ 0 w 8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23">
                    <a:moveTo>
                      <a:pt x="0" y="0"/>
                    </a:moveTo>
                    <a:lnTo>
                      <a:pt x="7" y="23"/>
                    </a:lnTo>
                    <a:lnTo>
                      <a:pt x="8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7" name="Freeform 392"/>
              <xdr:cNvSpPr>
                <a:spLocks noChangeAspect="1"/>
              </xdr:cNvSpPr>
            </xdr:nvSpPr>
            <xdr:spPr bwMode="auto">
              <a:xfrm>
                <a:off x="2319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8" name="Freeform 393"/>
              <xdr:cNvSpPr>
                <a:spLocks noChangeAspect="1"/>
              </xdr:cNvSpPr>
            </xdr:nvSpPr>
            <xdr:spPr bwMode="auto">
              <a:xfrm>
                <a:off x="2295" y="3523"/>
                <a:ext cx="17" cy="0"/>
              </a:xfrm>
              <a:custGeom>
                <a:avLst/>
                <a:gdLst>
                  <a:gd name="T0" fmla="*/ 0 w 137"/>
                  <a:gd name="T1" fmla="*/ 2 w 137"/>
                  <a:gd name="T2" fmla="*/ 2 w 13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37">
                    <a:moveTo>
                      <a:pt x="0" y="0"/>
                    </a:moveTo>
                    <a:lnTo>
                      <a:pt x="136" y="0"/>
                    </a:lnTo>
                    <a:lnTo>
                      <a:pt x="1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9" name="Freeform 394"/>
              <xdr:cNvSpPr>
                <a:spLocks noChangeAspect="1"/>
              </xdr:cNvSpPr>
            </xdr:nvSpPr>
            <xdr:spPr bwMode="auto">
              <a:xfrm>
                <a:off x="2293" y="3527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0" name="Freeform 395"/>
              <xdr:cNvSpPr>
                <a:spLocks noChangeAspect="1"/>
              </xdr:cNvSpPr>
            </xdr:nvSpPr>
            <xdr:spPr bwMode="auto">
              <a:xfrm>
                <a:off x="2312" y="3523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0"/>
                    </a:moveTo>
                    <a:lnTo>
                      <a:pt x="23" y="22"/>
                    </a:lnTo>
                    <a:lnTo>
                      <a:pt x="24" y="2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1" name="Freeform 396"/>
              <xdr:cNvSpPr>
                <a:spLocks noChangeAspect="1"/>
              </xdr:cNvSpPr>
            </xdr:nvSpPr>
            <xdr:spPr bwMode="auto">
              <a:xfrm>
                <a:off x="2315" y="3524"/>
                <a:ext cx="2" cy="2"/>
              </a:xfrm>
              <a:custGeom>
                <a:avLst/>
                <a:gdLst>
                  <a:gd name="T0" fmla="*/ 0 w 14"/>
                  <a:gd name="T1" fmla="*/ 0 h 14"/>
                  <a:gd name="T2" fmla="*/ 0 w 14"/>
                  <a:gd name="T3" fmla="*/ 0 h 14"/>
                  <a:gd name="T4" fmla="*/ 0 w 14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4" h="14">
                    <a:moveTo>
                      <a:pt x="0" y="14"/>
                    </a:moveTo>
                    <a:lnTo>
                      <a:pt x="13" y="0"/>
                    </a:lnTo>
                    <a:lnTo>
                      <a:pt x="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2" name="Freeform 397"/>
              <xdr:cNvSpPr>
                <a:spLocks noChangeAspect="1"/>
              </xdr:cNvSpPr>
            </xdr:nvSpPr>
            <xdr:spPr bwMode="auto">
              <a:xfrm>
                <a:off x="2317" y="3522"/>
                <a:ext cx="0" cy="2"/>
              </a:xfrm>
              <a:custGeom>
                <a:avLst/>
                <a:gdLst>
                  <a:gd name="T0" fmla="*/ 1 w 2"/>
                  <a:gd name="T1" fmla="*/ 0 h 15"/>
                  <a:gd name="T2" fmla="*/ 0 w 2"/>
                  <a:gd name="T3" fmla="*/ 0 h 15"/>
                  <a:gd name="T4" fmla="*/ 1 w 2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15">
                    <a:moveTo>
                      <a:pt x="2" y="1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3" name="Freeform 398"/>
              <xdr:cNvSpPr>
                <a:spLocks noChangeAspect="1"/>
              </xdr:cNvSpPr>
            </xdr:nvSpPr>
            <xdr:spPr bwMode="auto">
              <a:xfrm>
                <a:off x="2323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4" name="Freeform 399"/>
              <xdr:cNvSpPr>
                <a:spLocks noChangeAspect="1"/>
              </xdr:cNvSpPr>
            </xdr:nvSpPr>
            <xdr:spPr bwMode="auto">
              <a:xfrm>
                <a:off x="2315" y="3513"/>
                <a:ext cx="1" cy="3"/>
              </a:xfrm>
              <a:custGeom>
                <a:avLst/>
                <a:gdLst>
                  <a:gd name="T0" fmla="*/ 0 w 8"/>
                  <a:gd name="T1" fmla="*/ 0 h 23"/>
                  <a:gd name="T2" fmla="*/ 0 w 8"/>
                  <a:gd name="T3" fmla="*/ 0 h 23"/>
                  <a:gd name="T4" fmla="*/ 0 w 8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23">
                    <a:moveTo>
                      <a:pt x="0" y="23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5" name="Freeform 400"/>
              <xdr:cNvSpPr>
                <a:spLocks noChangeAspect="1"/>
              </xdr:cNvSpPr>
            </xdr:nvSpPr>
            <xdr:spPr bwMode="auto">
              <a:xfrm>
                <a:off x="2319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6" name="Freeform 401"/>
              <xdr:cNvSpPr>
                <a:spLocks noChangeAspect="1"/>
              </xdr:cNvSpPr>
            </xdr:nvSpPr>
            <xdr:spPr bwMode="auto">
              <a:xfrm>
                <a:off x="2316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7" name="Freeform 402"/>
              <xdr:cNvSpPr>
                <a:spLocks noChangeAspect="1"/>
              </xdr:cNvSpPr>
            </xdr:nvSpPr>
            <xdr:spPr bwMode="auto">
              <a:xfrm>
                <a:off x="231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8" name="Freeform 403"/>
              <xdr:cNvSpPr>
                <a:spLocks noChangeAspect="1"/>
              </xdr:cNvSpPr>
            </xdr:nvSpPr>
            <xdr:spPr bwMode="auto">
              <a:xfrm>
                <a:off x="2319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9" name="Freeform 404"/>
              <xdr:cNvSpPr>
                <a:spLocks noChangeAspect="1"/>
              </xdr:cNvSpPr>
            </xdr:nvSpPr>
            <xdr:spPr bwMode="auto">
              <a:xfrm>
                <a:off x="2313" y="3490"/>
                <a:ext cx="0" cy="6"/>
              </a:xfrm>
              <a:custGeom>
                <a:avLst/>
                <a:gdLst>
                  <a:gd name="T0" fmla="*/ 0 w 1"/>
                  <a:gd name="T1" fmla="*/ 0 h 41"/>
                  <a:gd name="T2" fmla="*/ 0 w 1"/>
                  <a:gd name="T3" fmla="*/ 1 h 41"/>
                  <a:gd name="T4" fmla="*/ 1 w 1"/>
                  <a:gd name="T5" fmla="*/ 1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0"/>
                    </a:moveTo>
                    <a:lnTo>
                      <a:pt x="0" y="41"/>
                    </a:lnTo>
                    <a:lnTo>
                      <a:pt x="1" y="41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0" name="Freeform 405"/>
              <xdr:cNvSpPr>
                <a:spLocks noChangeAspect="1"/>
              </xdr:cNvSpPr>
            </xdr:nvSpPr>
            <xdr:spPr bwMode="auto">
              <a:xfrm>
                <a:off x="2320" y="3496"/>
                <a:ext cx="0" cy="3"/>
              </a:xfrm>
              <a:custGeom>
                <a:avLst/>
                <a:gdLst>
                  <a:gd name="T0" fmla="*/ 0 w 1"/>
                  <a:gd name="T1" fmla="*/ 0 h 24"/>
                  <a:gd name="T2" fmla="*/ 0 w 1"/>
                  <a:gd name="T3" fmla="*/ 0 h 24"/>
                  <a:gd name="T4" fmla="*/ 1 w 1"/>
                  <a:gd name="T5" fmla="*/ 0 h 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4">
                    <a:moveTo>
                      <a:pt x="0" y="0"/>
                    </a:moveTo>
                    <a:lnTo>
                      <a:pt x="0" y="24"/>
                    </a:lnTo>
                    <a:lnTo>
                      <a:pt x="1" y="2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1" name="Freeform 406"/>
              <xdr:cNvSpPr>
                <a:spLocks noChangeAspect="1"/>
              </xdr:cNvSpPr>
            </xdr:nvSpPr>
            <xdr:spPr bwMode="auto">
              <a:xfrm>
                <a:off x="2323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2" name="Freeform 407"/>
              <xdr:cNvSpPr>
                <a:spLocks noChangeAspect="1"/>
              </xdr:cNvSpPr>
            </xdr:nvSpPr>
            <xdr:spPr bwMode="auto">
              <a:xfrm>
                <a:off x="2325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3" name="Freeform 408"/>
              <xdr:cNvSpPr>
                <a:spLocks noChangeAspect="1"/>
              </xdr:cNvSpPr>
            </xdr:nvSpPr>
            <xdr:spPr bwMode="auto">
              <a:xfrm>
                <a:off x="2321" y="3490"/>
                <a:ext cx="0" cy="6"/>
              </a:xfrm>
              <a:custGeom>
                <a:avLst/>
                <a:gdLst>
                  <a:gd name="T0" fmla="*/ 0 w 1"/>
                  <a:gd name="T1" fmla="*/ 1 h 41"/>
                  <a:gd name="T2" fmla="*/ 0 w 1"/>
                  <a:gd name="T3" fmla="*/ 0 h 41"/>
                  <a:gd name="T4" fmla="*/ 1 w 1"/>
                  <a:gd name="T5" fmla="*/ 0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4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4" name="Freeform 409"/>
              <xdr:cNvSpPr>
                <a:spLocks noChangeAspect="1"/>
              </xdr:cNvSpPr>
            </xdr:nvSpPr>
            <xdr:spPr bwMode="auto">
              <a:xfrm>
                <a:off x="2315" y="3557"/>
                <a:ext cx="34" cy="0"/>
              </a:xfrm>
              <a:custGeom>
                <a:avLst/>
                <a:gdLst>
                  <a:gd name="T0" fmla="*/ 0 w 267"/>
                  <a:gd name="T1" fmla="*/ 4 w 267"/>
                  <a:gd name="T2" fmla="*/ 4 w 26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7">
                    <a:moveTo>
                      <a:pt x="0" y="0"/>
                    </a:moveTo>
                    <a:lnTo>
                      <a:pt x="266" y="0"/>
                    </a:lnTo>
                    <a:lnTo>
                      <a:pt x="2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5" name="Freeform 410"/>
              <xdr:cNvSpPr>
                <a:spLocks noChangeAspect="1"/>
              </xdr:cNvSpPr>
            </xdr:nvSpPr>
            <xdr:spPr bwMode="auto">
              <a:xfrm>
                <a:off x="2316" y="3560"/>
                <a:ext cx="32" cy="0"/>
              </a:xfrm>
              <a:custGeom>
                <a:avLst/>
                <a:gdLst>
                  <a:gd name="T0" fmla="*/ 0 w 253"/>
                  <a:gd name="T1" fmla="*/ 4 w 253"/>
                  <a:gd name="T2" fmla="*/ 4 w 2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3">
                    <a:moveTo>
                      <a:pt x="0" y="0"/>
                    </a:moveTo>
                    <a:lnTo>
                      <a:pt x="252" y="0"/>
                    </a:lnTo>
                    <a:lnTo>
                      <a:pt x="2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6" name="Freeform 411"/>
              <xdr:cNvSpPr>
                <a:spLocks noChangeAspect="1"/>
              </xdr:cNvSpPr>
            </xdr:nvSpPr>
            <xdr:spPr bwMode="auto">
              <a:xfrm>
                <a:off x="2320" y="3523"/>
                <a:ext cx="24" cy="27"/>
              </a:xfrm>
              <a:custGeom>
                <a:avLst/>
                <a:gdLst>
                  <a:gd name="T0" fmla="*/ 3 w 196"/>
                  <a:gd name="T1" fmla="*/ 2 h 193"/>
                  <a:gd name="T2" fmla="*/ 3 w 196"/>
                  <a:gd name="T3" fmla="*/ 1 h 193"/>
                  <a:gd name="T4" fmla="*/ 2 w 196"/>
                  <a:gd name="T5" fmla="*/ 0 h 193"/>
                  <a:gd name="T6" fmla="*/ 1 w 196"/>
                  <a:gd name="T7" fmla="*/ 0 h 193"/>
                  <a:gd name="T8" fmla="*/ 1 w 196"/>
                  <a:gd name="T9" fmla="*/ 0 h 193"/>
                  <a:gd name="T10" fmla="*/ 0 w 196"/>
                  <a:gd name="T11" fmla="*/ 1 h 193"/>
                  <a:gd name="T12" fmla="*/ 0 w 196"/>
                  <a:gd name="T13" fmla="*/ 2 h 193"/>
                  <a:gd name="T14" fmla="*/ 0 w 196"/>
                  <a:gd name="T15" fmla="*/ 3 h 193"/>
                  <a:gd name="T16" fmla="*/ 1 w 196"/>
                  <a:gd name="T17" fmla="*/ 3 h 193"/>
                  <a:gd name="T18" fmla="*/ 1 w 196"/>
                  <a:gd name="T19" fmla="*/ 4 h 193"/>
                  <a:gd name="T20" fmla="*/ 2 w 196"/>
                  <a:gd name="T21" fmla="*/ 3 h 193"/>
                  <a:gd name="T22" fmla="*/ 3 w 196"/>
                  <a:gd name="T23" fmla="*/ 3 h 193"/>
                  <a:gd name="T24" fmla="*/ 3 w 196"/>
                  <a:gd name="T25" fmla="*/ 2 h 193"/>
                  <a:gd name="T26" fmla="*/ 3 w 196"/>
                  <a:gd name="T27" fmla="*/ 2 h 193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0" t="0" r="r" b="b"/>
                <a:pathLst>
                  <a:path w="196" h="193">
                    <a:moveTo>
                      <a:pt x="194" y="97"/>
                    </a:moveTo>
                    <a:lnTo>
                      <a:pt x="181" y="48"/>
                    </a:lnTo>
                    <a:lnTo>
                      <a:pt x="146" y="13"/>
                    </a:lnTo>
                    <a:lnTo>
                      <a:pt x="97" y="0"/>
                    </a:lnTo>
                    <a:lnTo>
                      <a:pt x="48" y="13"/>
                    </a:lnTo>
                    <a:lnTo>
                      <a:pt x="13" y="48"/>
                    </a:lnTo>
                    <a:lnTo>
                      <a:pt x="0" y="97"/>
                    </a:lnTo>
                    <a:lnTo>
                      <a:pt x="13" y="145"/>
                    </a:lnTo>
                    <a:lnTo>
                      <a:pt x="48" y="180"/>
                    </a:lnTo>
                    <a:lnTo>
                      <a:pt x="97" y="193"/>
                    </a:lnTo>
                    <a:lnTo>
                      <a:pt x="146" y="180"/>
                    </a:lnTo>
                    <a:lnTo>
                      <a:pt x="181" y="145"/>
                    </a:lnTo>
                    <a:lnTo>
                      <a:pt x="194" y="97"/>
                    </a:lnTo>
                    <a:lnTo>
                      <a:pt x="196" y="9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7" name="Freeform 412"/>
              <xdr:cNvSpPr>
                <a:spLocks noChangeAspect="1"/>
              </xdr:cNvSpPr>
            </xdr:nvSpPr>
            <xdr:spPr bwMode="auto">
              <a:xfrm>
                <a:off x="2322" y="3542"/>
                <a:ext cx="2" cy="2"/>
              </a:xfrm>
              <a:custGeom>
                <a:avLst/>
                <a:gdLst>
                  <a:gd name="T0" fmla="*/ 0 w 21"/>
                  <a:gd name="T1" fmla="*/ 0 h 19"/>
                  <a:gd name="T2" fmla="*/ 0 w 21"/>
                  <a:gd name="T3" fmla="*/ 0 h 19"/>
                  <a:gd name="T4" fmla="*/ 0 w 21"/>
                  <a:gd name="T5" fmla="*/ 0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1" h="19">
                    <a:moveTo>
                      <a:pt x="0" y="19"/>
                    </a:moveTo>
                    <a:lnTo>
                      <a:pt x="19" y="0"/>
                    </a:lnTo>
                    <a:lnTo>
                      <a:pt x="2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8" name="Freeform 413"/>
              <xdr:cNvSpPr>
                <a:spLocks noChangeAspect="1"/>
              </xdr:cNvSpPr>
            </xdr:nvSpPr>
            <xdr:spPr bwMode="auto">
              <a:xfrm>
                <a:off x="2337" y="3525"/>
                <a:ext cx="2" cy="3"/>
              </a:xfrm>
              <a:custGeom>
                <a:avLst/>
                <a:gdLst>
                  <a:gd name="T0" fmla="*/ 0 w 19"/>
                  <a:gd name="T1" fmla="*/ 0 h 19"/>
                  <a:gd name="T2" fmla="*/ 0 w 19"/>
                  <a:gd name="T3" fmla="*/ 0 h 19"/>
                  <a:gd name="T4" fmla="*/ 0 w 19"/>
                  <a:gd name="T5" fmla="*/ 0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19">
                    <a:moveTo>
                      <a:pt x="0" y="19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9" name="Freeform 414"/>
              <xdr:cNvSpPr>
                <a:spLocks noChangeAspect="1"/>
              </xdr:cNvSpPr>
            </xdr:nvSpPr>
            <xdr:spPr bwMode="auto">
              <a:xfrm>
                <a:off x="2322" y="3542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0" name="Freeform 415"/>
              <xdr:cNvSpPr>
                <a:spLocks noChangeAspect="1"/>
              </xdr:cNvSpPr>
            </xdr:nvSpPr>
            <xdr:spPr bwMode="auto">
              <a:xfrm>
                <a:off x="2337" y="3526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1" name="Freeform 416"/>
              <xdr:cNvSpPr>
                <a:spLocks noChangeAspect="1"/>
              </xdr:cNvSpPr>
            </xdr:nvSpPr>
            <xdr:spPr bwMode="auto">
              <a:xfrm>
                <a:off x="2323" y="3542"/>
                <a:ext cx="3" cy="4"/>
              </a:xfrm>
              <a:custGeom>
                <a:avLst/>
                <a:gdLst>
                  <a:gd name="T0" fmla="*/ 0 w 29"/>
                  <a:gd name="T1" fmla="*/ 1 h 27"/>
                  <a:gd name="T2" fmla="*/ 0 w 29"/>
                  <a:gd name="T3" fmla="*/ 0 h 27"/>
                  <a:gd name="T4" fmla="*/ 0 w 29"/>
                  <a:gd name="T5" fmla="*/ 0 h 2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9" h="27">
                    <a:moveTo>
                      <a:pt x="0" y="27"/>
                    </a:move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2" name="Freeform 417"/>
              <xdr:cNvSpPr>
                <a:spLocks noChangeAspect="1"/>
              </xdr:cNvSpPr>
            </xdr:nvSpPr>
            <xdr:spPr bwMode="auto">
              <a:xfrm>
                <a:off x="2337" y="3526"/>
                <a:ext cx="3" cy="4"/>
              </a:xfrm>
              <a:custGeom>
                <a:avLst/>
                <a:gdLst>
                  <a:gd name="T0" fmla="*/ 0 w 27"/>
                  <a:gd name="T1" fmla="*/ 1 h 26"/>
                  <a:gd name="T2" fmla="*/ 0 w 27"/>
                  <a:gd name="T3" fmla="*/ 0 h 26"/>
                  <a:gd name="T4" fmla="*/ 0 w 27"/>
                  <a:gd name="T5" fmla="*/ 0 h 2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7" h="26">
                    <a:moveTo>
                      <a:pt x="0" y="26"/>
                    </a:moveTo>
                    <a:lnTo>
                      <a:pt x="26" y="0"/>
                    </a:lnTo>
                    <a:lnTo>
                      <a:pt x="2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3" name="Freeform 418"/>
              <xdr:cNvSpPr>
                <a:spLocks noChangeAspect="1"/>
              </xdr:cNvSpPr>
            </xdr:nvSpPr>
            <xdr:spPr bwMode="auto">
              <a:xfrm>
                <a:off x="2323" y="3542"/>
                <a:ext cx="4" cy="4"/>
              </a:xfrm>
              <a:custGeom>
                <a:avLst/>
                <a:gdLst>
                  <a:gd name="T0" fmla="*/ 0 w 31"/>
                  <a:gd name="T1" fmla="*/ 1 h 30"/>
                  <a:gd name="T2" fmla="*/ 1 w 31"/>
                  <a:gd name="T3" fmla="*/ 0 h 30"/>
                  <a:gd name="T4" fmla="*/ 1 w 31"/>
                  <a:gd name="T5" fmla="*/ 0 h 3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30">
                    <a:moveTo>
                      <a:pt x="0" y="30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4" name="Freeform 419"/>
              <xdr:cNvSpPr>
                <a:spLocks noChangeAspect="1"/>
              </xdr:cNvSpPr>
            </xdr:nvSpPr>
            <xdr:spPr bwMode="auto">
              <a:xfrm>
                <a:off x="2337" y="3527"/>
                <a:ext cx="4" cy="4"/>
              </a:xfrm>
              <a:custGeom>
                <a:avLst/>
                <a:gdLst>
                  <a:gd name="T0" fmla="*/ 0 w 31"/>
                  <a:gd name="T1" fmla="*/ 1 h 30"/>
                  <a:gd name="T2" fmla="*/ 1 w 31"/>
                  <a:gd name="T3" fmla="*/ 0 h 30"/>
                  <a:gd name="T4" fmla="*/ 1 w 31"/>
                  <a:gd name="T5" fmla="*/ 0 h 3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30">
                    <a:moveTo>
                      <a:pt x="0" y="30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5" name="Freeform 420"/>
              <xdr:cNvSpPr>
                <a:spLocks noChangeAspect="1"/>
              </xdr:cNvSpPr>
            </xdr:nvSpPr>
            <xdr:spPr bwMode="auto">
              <a:xfrm>
                <a:off x="2324" y="3542"/>
                <a:ext cx="4" cy="4"/>
              </a:xfrm>
              <a:custGeom>
                <a:avLst/>
                <a:gdLst>
                  <a:gd name="T0" fmla="*/ 0 w 35"/>
                  <a:gd name="T1" fmla="*/ 0 h 33"/>
                  <a:gd name="T2" fmla="*/ 0 w 35"/>
                  <a:gd name="T3" fmla="*/ 0 h 33"/>
                  <a:gd name="T4" fmla="*/ 0 w 35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5" h="33">
                    <a:moveTo>
                      <a:pt x="0" y="33"/>
                    </a:moveTo>
                    <a:lnTo>
                      <a:pt x="34" y="0"/>
                    </a:lnTo>
                    <a:lnTo>
                      <a:pt x="3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6" name="Freeform 421"/>
              <xdr:cNvSpPr>
                <a:spLocks noChangeAspect="1"/>
              </xdr:cNvSpPr>
            </xdr:nvSpPr>
            <xdr:spPr bwMode="auto">
              <a:xfrm>
                <a:off x="2337" y="3527"/>
                <a:ext cx="4" cy="5"/>
              </a:xfrm>
              <a:custGeom>
                <a:avLst/>
                <a:gdLst>
                  <a:gd name="T0" fmla="*/ 0 w 35"/>
                  <a:gd name="T1" fmla="*/ 1 h 33"/>
                  <a:gd name="T2" fmla="*/ 0 w 35"/>
                  <a:gd name="T3" fmla="*/ 0 h 33"/>
                  <a:gd name="T4" fmla="*/ 0 w 35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5" h="33">
                    <a:moveTo>
                      <a:pt x="0" y="33"/>
                    </a:moveTo>
                    <a:lnTo>
                      <a:pt x="34" y="0"/>
                    </a:lnTo>
                    <a:lnTo>
                      <a:pt x="3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7" name="Freeform 422"/>
              <xdr:cNvSpPr>
                <a:spLocks noChangeAspect="1"/>
              </xdr:cNvSpPr>
            </xdr:nvSpPr>
            <xdr:spPr bwMode="auto">
              <a:xfrm>
                <a:off x="2324" y="3542"/>
                <a:ext cx="5" cy="5"/>
              </a:xfrm>
              <a:custGeom>
                <a:avLst/>
                <a:gdLst>
                  <a:gd name="T0" fmla="*/ 0 w 38"/>
                  <a:gd name="T1" fmla="*/ 1 h 36"/>
                  <a:gd name="T2" fmla="*/ 1 w 38"/>
                  <a:gd name="T3" fmla="*/ 0 h 36"/>
                  <a:gd name="T4" fmla="*/ 1 w 38"/>
                  <a:gd name="T5" fmla="*/ 0 h 3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8" h="36">
                    <a:moveTo>
                      <a:pt x="0" y="36"/>
                    </a:moveTo>
                    <a:lnTo>
                      <a:pt x="37" y="0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8" name="Freeform 423"/>
              <xdr:cNvSpPr>
                <a:spLocks noChangeAspect="1"/>
              </xdr:cNvSpPr>
            </xdr:nvSpPr>
            <xdr:spPr bwMode="auto">
              <a:xfrm>
                <a:off x="2337" y="3528"/>
                <a:ext cx="4" cy="5"/>
              </a:xfrm>
              <a:custGeom>
                <a:avLst/>
                <a:gdLst>
                  <a:gd name="T0" fmla="*/ 0 w 38"/>
                  <a:gd name="T1" fmla="*/ 1 h 36"/>
                  <a:gd name="T2" fmla="*/ 0 w 38"/>
                  <a:gd name="T3" fmla="*/ 0 h 36"/>
                  <a:gd name="T4" fmla="*/ 0 w 38"/>
                  <a:gd name="T5" fmla="*/ 0 h 3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8" h="36">
                    <a:moveTo>
                      <a:pt x="0" y="36"/>
                    </a:moveTo>
                    <a:lnTo>
                      <a:pt x="37" y="0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9" name="Freeform 424"/>
              <xdr:cNvSpPr>
                <a:spLocks noChangeAspect="1"/>
              </xdr:cNvSpPr>
            </xdr:nvSpPr>
            <xdr:spPr bwMode="auto">
              <a:xfrm>
                <a:off x="2325" y="3542"/>
                <a:ext cx="5" cy="5"/>
              </a:xfrm>
              <a:custGeom>
                <a:avLst/>
                <a:gdLst>
                  <a:gd name="T0" fmla="*/ 0 w 41"/>
                  <a:gd name="T1" fmla="*/ 1 h 40"/>
                  <a:gd name="T2" fmla="*/ 1 w 41"/>
                  <a:gd name="T3" fmla="*/ 0 h 40"/>
                  <a:gd name="T4" fmla="*/ 1 w 41"/>
                  <a:gd name="T5" fmla="*/ 0 h 4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1" h="40">
                    <a:moveTo>
                      <a:pt x="0" y="40"/>
                    </a:moveTo>
                    <a:lnTo>
                      <a:pt x="40" y="0"/>
                    </a:lnTo>
                    <a:lnTo>
                      <a:pt x="4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0" name="Freeform 425"/>
              <xdr:cNvSpPr>
                <a:spLocks noChangeAspect="1"/>
              </xdr:cNvSpPr>
            </xdr:nvSpPr>
            <xdr:spPr bwMode="auto">
              <a:xfrm>
                <a:off x="2337" y="3528"/>
                <a:ext cx="5" cy="6"/>
              </a:xfrm>
              <a:custGeom>
                <a:avLst/>
                <a:gdLst>
                  <a:gd name="T0" fmla="*/ 0 w 41"/>
                  <a:gd name="T1" fmla="*/ 1 h 38"/>
                  <a:gd name="T2" fmla="*/ 1 w 41"/>
                  <a:gd name="T3" fmla="*/ 0 h 38"/>
                  <a:gd name="T4" fmla="*/ 1 w 41"/>
                  <a:gd name="T5" fmla="*/ 0 h 3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1" h="38">
                    <a:moveTo>
                      <a:pt x="0" y="38"/>
                    </a:moveTo>
                    <a:lnTo>
                      <a:pt x="40" y="0"/>
                    </a:lnTo>
                    <a:lnTo>
                      <a:pt x="4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1" name="Freeform 426"/>
              <xdr:cNvSpPr>
                <a:spLocks noChangeAspect="1"/>
              </xdr:cNvSpPr>
            </xdr:nvSpPr>
            <xdr:spPr bwMode="auto">
              <a:xfrm>
                <a:off x="2325" y="3542"/>
                <a:ext cx="6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2" name="Freeform 427"/>
              <xdr:cNvSpPr>
                <a:spLocks noChangeAspect="1"/>
              </xdr:cNvSpPr>
            </xdr:nvSpPr>
            <xdr:spPr bwMode="auto">
              <a:xfrm>
                <a:off x="2337" y="3529"/>
                <a:ext cx="5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3" name="Freeform 428"/>
              <xdr:cNvSpPr>
                <a:spLocks noChangeAspect="1"/>
              </xdr:cNvSpPr>
            </xdr:nvSpPr>
            <xdr:spPr bwMode="auto">
              <a:xfrm>
                <a:off x="2326" y="3542"/>
                <a:ext cx="5" cy="6"/>
              </a:xfrm>
              <a:custGeom>
                <a:avLst/>
                <a:gdLst>
                  <a:gd name="T0" fmla="*/ 0 w 47"/>
                  <a:gd name="T1" fmla="*/ 1 h 45"/>
                  <a:gd name="T2" fmla="*/ 1 w 47"/>
                  <a:gd name="T3" fmla="*/ 0 h 45"/>
                  <a:gd name="T4" fmla="*/ 1 w 47"/>
                  <a:gd name="T5" fmla="*/ 0 h 4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7" h="45">
                    <a:moveTo>
                      <a:pt x="0" y="45"/>
                    </a:moveTo>
                    <a:lnTo>
                      <a:pt x="46" y="0"/>
                    </a:lnTo>
                    <a:lnTo>
                      <a:pt x="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4" name="Freeform 429"/>
              <xdr:cNvSpPr>
                <a:spLocks noChangeAspect="1"/>
              </xdr:cNvSpPr>
            </xdr:nvSpPr>
            <xdr:spPr bwMode="auto">
              <a:xfrm>
                <a:off x="2337" y="3529"/>
                <a:ext cx="5" cy="7"/>
              </a:xfrm>
              <a:custGeom>
                <a:avLst/>
                <a:gdLst>
                  <a:gd name="T0" fmla="*/ 0 w 47"/>
                  <a:gd name="T1" fmla="*/ 1 h 46"/>
                  <a:gd name="T2" fmla="*/ 1 w 47"/>
                  <a:gd name="T3" fmla="*/ 0 h 46"/>
                  <a:gd name="T4" fmla="*/ 1 w 47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7" h="46">
                    <a:moveTo>
                      <a:pt x="0" y="46"/>
                    </a:moveTo>
                    <a:lnTo>
                      <a:pt x="45" y="0"/>
                    </a:lnTo>
                    <a:lnTo>
                      <a:pt x="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5" name="Freeform 430"/>
              <xdr:cNvSpPr>
                <a:spLocks noChangeAspect="1"/>
              </xdr:cNvSpPr>
            </xdr:nvSpPr>
            <xdr:spPr bwMode="auto">
              <a:xfrm>
                <a:off x="2326" y="3542"/>
                <a:ext cx="6" cy="7"/>
              </a:xfrm>
              <a:custGeom>
                <a:avLst/>
                <a:gdLst>
                  <a:gd name="T0" fmla="*/ 0 w 49"/>
                  <a:gd name="T1" fmla="*/ 1 h 48"/>
                  <a:gd name="T2" fmla="*/ 1 w 49"/>
                  <a:gd name="T3" fmla="*/ 0 h 48"/>
                  <a:gd name="T4" fmla="*/ 1 w 49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" h="48">
                    <a:moveTo>
                      <a:pt x="0" y="48"/>
                    </a:moveTo>
                    <a:lnTo>
                      <a:pt x="48" y="0"/>
                    </a:lnTo>
                    <a:lnTo>
                      <a:pt x="4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6" name="Freeform 431"/>
              <xdr:cNvSpPr>
                <a:spLocks noChangeAspect="1"/>
              </xdr:cNvSpPr>
            </xdr:nvSpPr>
            <xdr:spPr bwMode="auto">
              <a:xfrm>
                <a:off x="2337" y="3530"/>
                <a:ext cx="6" cy="7"/>
              </a:xfrm>
              <a:custGeom>
                <a:avLst/>
                <a:gdLst>
                  <a:gd name="T0" fmla="*/ 0 w 49"/>
                  <a:gd name="T1" fmla="*/ 1 h 47"/>
                  <a:gd name="T2" fmla="*/ 1 w 49"/>
                  <a:gd name="T3" fmla="*/ 0 h 47"/>
                  <a:gd name="T4" fmla="*/ 1 w 49"/>
                  <a:gd name="T5" fmla="*/ 0 h 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" h="47">
                    <a:moveTo>
                      <a:pt x="0" y="47"/>
                    </a:moveTo>
                    <a:lnTo>
                      <a:pt x="48" y="0"/>
                    </a:lnTo>
                    <a:lnTo>
                      <a:pt x="4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7" name="Freeform 432"/>
              <xdr:cNvSpPr>
                <a:spLocks noChangeAspect="1"/>
              </xdr:cNvSpPr>
            </xdr:nvSpPr>
            <xdr:spPr bwMode="auto">
              <a:xfrm>
                <a:off x="2327" y="3542"/>
                <a:ext cx="7" cy="7"/>
              </a:xfrm>
              <a:custGeom>
                <a:avLst/>
                <a:gdLst>
                  <a:gd name="T0" fmla="*/ 0 w 53"/>
                  <a:gd name="T1" fmla="*/ 1 h 51"/>
                  <a:gd name="T2" fmla="*/ 1 w 53"/>
                  <a:gd name="T3" fmla="*/ 0 h 51"/>
                  <a:gd name="T4" fmla="*/ 1 w 53"/>
                  <a:gd name="T5" fmla="*/ 0 h 5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1">
                    <a:moveTo>
                      <a:pt x="0" y="51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8" name="Freeform 433"/>
              <xdr:cNvSpPr>
                <a:spLocks noChangeAspect="1"/>
              </xdr:cNvSpPr>
            </xdr:nvSpPr>
            <xdr:spPr bwMode="auto">
              <a:xfrm>
                <a:off x="2336" y="3531"/>
                <a:ext cx="7" cy="7"/>
              </a:xfrm>
              <a:custGeom>
                <a:avLst/>
                <a:gdLst>
                  <a:gd name="T0" fmla="*/ 0 w 53"/>
                  <a:gd name="T1" fmla="*/ 1 h 51"/>
                  <a:gd name="T2" fmla="*/ 1 w 53"/>
                  <a:gd name="T3" fmla="*/ 0 h 51"/>
                  <a:gd name="T4" fmla="*/ 1 w 53"/>
                  <a:gd name="T5" fmla="*/ 0 h 5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1">
                    <a:moveTo>
                      <a:pt x="0" y="51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9" name="Freeform 434"/>
              <xdr:cNvSpPr>
                <a:spLocks noChangeAspect="1"/>
              </xdr:cNvSpPr>
            </xdr:nvSpPr>
            <xdr:spPr bwMode="auto">
              <a:xfrm>
                <a:off x="2327" y="3531"/>
                <a:ext cx="16" cy="18"/>
              </a:xfrm>
              <a:custGeom>
                <a:avLst/>
                <a:gdLst>
                  <a:gd name="T0" fmla="*/ 0 w 127"/>
                  <a:gd name="T1" fmla="*/ 3 h 124"/>
                  <a:gd name="T2" fmla="*/ 2 w 127"/>
                  <a:gd name="T3" fmla="*/ 0 h 124"/>
                  <a:gd name="T4" fmla="*/ 2 w 127"/>
                  <a:gd name="T5" fmla="*/ 0 h 1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27" h="124">
                    <a:moveTo>
                      <a:pt x="0" y="124"/>
                    </a:moveTo>
                    <a:lnTo>
                      <a:pt x="126" y="0"/>
                    </a:lnTo>
                    <a:lnTo>
                      <a:pt x="12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0" name="Freeform 435"/>
              <xdr:cNvSpPr>
                <a:spLocks noChangeAspect="1"/>
              </xdr:cNvSpPr>
            </xdr:nvSpPr>
            <xdr:spPr bwMode="auto">
              <a:xfrm>
                <a:off x="2328" y="3532"/>
                <a:ext cx="16" cy="17"/>
              </a:xfrm>
              <a:custGeom>
                <a:avLst/>
                <a:gdLst>
                  <a:gd name="T0" fmla="*/ 0 w 123"/>
                  <a:gd name="T1" fmla="*/ 2 h 119"/>
                  <a:gd name="T2" fmla="*/ 2 w 123"/>
                  <a:gd name="T3" fmla="*/ 0 h 119"/>
                  <a:gd name="T4" fmla="*/ 2 w 123"/>
                  <a:gd name="T5" fmla="*/ 0 h 1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23" h="119">
                    <a:moveTo>
                      <a:pt x="0" y="119"/>
                    </a:moveTo>
                    <a:lnTo>
                      <a:pt x="122" y="0"/>
                    </a:lnTo>
                    <a:lnTo>
                      <a:pt x="12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1" name="Freeform 436"/>
              <xdr:cNvSpPr>
                <a:spLocks noChangeAspect="1"/>
              </xdr:cNvSpPr>
            </xdr:nvSpPr>
            <xdr:spPr bwMode="auto">
              <a:xfrm>
                <a:off x="2329" y="3533"/>
                <a:ext cx="15" cy="17"/>
              </a:xfrm>
              <a:custGeom>
                <a:avLst/>
                <a:gdLst>
                  <a:gd name="T0" fmla="*/ 0 w 119"/>
                  <a:gd name="T1" fmla="*/ 2 h 117"/>
                  <a:gd name="T2" fmla="*/ 2 w 119"/>
                  <a:gd name="T3" fmla="*/ 0 h 117"/>
                  <a:gd name="T4" fmla="*/ 2 w 119"/>
                  <a:gd name="T5" fmla="*/ 0 h 1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9" h="117">
                    <a:moveTo>
                      <a:pt x="0" y="117"/>
                    </a:moveTo>
                    <a:lnTo>
                      <a:pt x="118" y="0"/>
                    </a:lnTo>
                    <a:lnTo>
                      <a:pt x="1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2" name="Freeform 437"/>
              <xdr:cNvSpPr>
                <a:spLocks noChangeAspect="1"/>
              </xdr:cNvSpPr>
            </xdr:nvSpPr>
            <xdr:spPr bwMode="auto">
              <a:xfrm>
                <a:off x="2329" y="3534"/>
                <a:ext cx="15" cy="16"/>
              </a:xfrm>
              <a:custGeom>
                <a:avLst/>
                <a:gdLst>
                  <a:gd name="T0" fmla="*/ 0 w 114"/>
                  <a:gd name="T1" fmla="*/ 2 h 113"/>
                  <a:gd name="T2" fmla="*/ 2 w 114"/>
                  <a:gd name="T3" fmla="*/ 0 h 113"/>
                  <a:gd name="T4" fmla="*/ 2 w 114"/>
                  <a:gd name="T5" fmla="*/ 0 h 1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4" h="113">
                    <a:moveTo>
                      <a:pt x="0" y="113"/>
                    </a:moveTo>
                    <a:lnTo>
                      <a:pt x="113" y="0"/>
                    </a:lnTo>
                    <a:lnTo>
                      <a:pt x="1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3" name="Freeform 438"/>
              <xdr:cNvSpPr>
                <a:spLocks noChangeAspect="1"/>
              </xdr:cNvSpPr>
            </xdr:nvSpPr>
            <xdr:spPr bwMode="auto">
              <a:xfrm>
                <a:off x="2330" y="3535"/>
                <a:ext cx="14" cy="15"/>
              </a:xfrm>
              <a:custGeom>
                <a:avLst/>
                <a:gdLst>
                  <a:gd name="T0" fmla="*/ 0 w 109"/>
                  <a:gd name="T1" fmla="*/ 2 h 107"/>
                  <a:gd name="T2" fmla="*/ 2 w 109"/>
                  <a:gd name="T3" fmla="*/ 0 h 107"/>
                  <a:gd name="T4" fmla="*/ 2 w 109"/>
                  <a:gd name="T5" fmla="*/ 0 h 10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09" h="107">
                    <a:moveTo>
                      <a:pt x="0" y="107"/>
                    </a:moveTo>
                    <a:lnTo>
                      <a:pt x="108" y="0"/>
                    </a:lnTo>
                    <a:lnTo>
                      <a:pt x="10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4" name="Freeform 439"/>
              <xdr:cNvSpPr>
                <a:spLocks noChangeAspect="1"/>
              </xdr:cNvSpPr>
            </xdr:nvSpPr>
            <xdr:spPr bwMode="auto">
              <a:xfrm>
                <a:off x="2331" y="3536"/>
                <a:ext cx="13" cy="14"/>
              </a:xfrm>
              <a:custGeom>
                <a:avLst/>
                <a:gdLst>
                  <a:gd name="T0" fmla="*/ 0 w 104"/>
                  <a:gd name="T1" fmla="*/ 2 h 101"/>
                  <a:gd name="T2" fmla="*/ 2 w 104"/>
                  <a:gd name="T3" fmla="*/ 0 h 101"/>
                  <a:gd name="T4" fmla="*/ 2 w 104"/>
                  <a:gd name="T5" fmla="*/ 0 h 10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04" h="101">
                    <a:moveTo>
                      <a:pt x="0" y="101"/>
                    </a:moveTo>
                    <a:lnTo>
                      <a:pt x="102" y="0"/>
                    </a:lnTo>
                    <a:lnTo>
                      <a:pt x="10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5" name="Freeform 440"/>
              <xdr:cNvSpPr>
                <a:spLocks noChangeAspect="1"/>
              </xdr:cNvSpPr>
            </xdr:nvSpPr>
            <xdr:spPr bwMode="auto">
              <a:xfrm>
                <a:off x="2332" y="3537"/>
                <a:ext cx="12" cy="13"/>
              </a:xfrm>
              <a:custGeom>
                <a:avLst/>
                <a:gdLst>
                  <a:gd name="T0" fmla="*/ 0 w 97"/>
                  <a:gd name="T1" fmla="*/ 2 h 95"/>
                  <a:gd name="T2" fmla="*/ 1 w 97"/>
                  <a:gd name="T3" fmla="*/ 0 h 95"/>
                  <a:gd name="T4" fmla="*/ 1 w 97"/>
                  <a:gd name="T5" fmla="*/ 0 h 9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97" h="95">
                    <a:moveTo>
                      <a:pt x="0" y="95"/>
                    </a:moveTo>
                    <a:lnTo>
                      <a:pt x="95" y="0"/>
                    </a:lnTo>
                    <a:lnTo>
                      <a:pt x="9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6" name="Freeform 441"/>
              <xdr:cNvSpPr>
                <a:spLocks noChangeAspect="1"/>
              </xdr:cNvSpPr>
            </xdr:nvSpPr>
            <xdr:spPr bwMode="auto">
              <a:xfrm>
                <a:off x="2333" y="3538"/>
                <a:ext cx="11" cy="12"/>
              </a:xfrm>
              <a:custGeom>
                <a:avLst/>
                <a:gdLst>
                  <a:gd name="T0" fmla="*/ 0 w 88"/>
                  <a:gd name="T1" fmla="*/ 2 h 87"/>
                  <a:gd name="T2" fmla="*/ 1 w 88"/>
                  <a:gd name="T3" fmla="*/ 0 h 87"/>
                  <a:gd name="T4" fmla="*/ 1 w 88"/>
                  <a:gd name="T5" fmla="*/ 0 h 8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8" h="87">
                    <a:moveTo>
                      <a:pt x="0" y="87"/>
                    </a:moveTo>
                    <a:lnTo>
                      <a:pt x="87" y="0"/>
                    </a:lnTo>
                    <a:lnTo>
                      <a:pt x="8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7" name="Freeform 442"/>
              <xdr:cNvSpPr>
                <a:spLocks noChangeAspect="1"/>
              </xdr:cNvSpPr>
            </xdr:nvSpPr>
            <xdr:spPr bwMode="auto">
              <a:xfrm>
                <a:off x="2334" y="3539"/>
                <a:ext cx="10" cy="11"/>
              </a:xfrm>
              <a:custGeom>
                <a:avLst/>
                <a:gdLst>
                  <a:gd name="T0" fmla="*/ 0 w 79"/>
                  <a:gd name="T1" fmla="*/ 2 h 77"/>
                  <a:gd name="T2" fmla="*/ 1 w 79"/>
                  <a:gd name="T3" fmla="*/ 0 h 77"/>
                  <a:gd name="T4" fmla="*/ 1 w 79"/>
                  <a:gd name="T5" fmla="*/ 0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9" h="77">
                    <a:moveTo>
                      <a:pt x="0" y="77"/>
                    </a:moveTo>
                    <a:lnTo>
                      <a:pt x="78" y="0"/>
                    </a:lnTo>
                    <a:lnTo>
                      <a:pt x="7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8" name="Freeform 443"/>
              <xdr:cNvSpPr>
                <a:spLocks noChangeAspect="1"/>
              </xdr:cNvSpPr>
            </xdr:nvSpPr>
            <xdr:spPr bwMode="auto">
              <a:xfrm>
                <a:off x="2335" y="3540"/>
                <a:ext cx="9" cy="10"/>
              </a:xfrm>
              <a:custGeom>
                <a:avLst/>
                <a:gdLst>
                  <a:gd name="T0" fmla="*/ 0 w 67"/>
                  <a:gd name="T1" fmla="*/ 1 h 67"/>
                  <a:gd name="T2" fmla="*/ 1 w 67"/>
                  <a:gd name="T3" fmla="*/ 0 h 67"/>
                  <a:gd name="T4" fmla="*/ 1 w 67"/>
                  <a:gd name="T5" fmla="*/ 0 h 6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67" h="67">
                    <a:moveTo>
                      <a:pt x="0" y="67"/>
                    </a:moveTo>
                    <a:lnTo>
                      <a:pt x="66" y="0"/>
                    </a:lnTo>
                    <a:lnTo>
                      <a:pt x="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9" name="Freeform 444"/>
              <xdr:cNvSpPr>
                <a:spLocks noChangeAspect="1"/>
              </xdr:cNvSpPr>
            </xdr:nvSpPr>
            <xdr:spPr bwMode="auto">
              <a:xfrm>
                <a:off x="2336" y="3542"/>
                <a:ext cx="7" cy="7"/>
              </a:xfrm>
              <a:custGeom>
                <a:avLst/>
                <a:gdLst>
                  <a:gd name="T0" fmla="*/ 0 w 53"/>
                  <a:gd name="T1" fmla="*/ 1 h 52"/>
                  <a:gd name="T2" fmla="*/ 1 w 53"/>
                  <a:gd name="T3" fmla="*/ 0 h 52"/>
                  <a:gd name="T4" fmla="*/ 1 w 53"/>
                  <a:gd name="T5" fmla="*/ 0 h 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2">
                    <a:moveTo>
                      <a:pt x="0" y="52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0" name="Freeform 445"/>
              <xdr:cNvSpPr>
                <a:spLocks noChangeAspect="1"/>
              </xdr:cNvSpPr>
            </xdr:nvSpPr>
            <xdr:spPr bwMode="auto">
              <a:xfrm>
                <a:off x="2338" y="3544"/>
                <a:ext cx="4" cy="4"/>
              </a:xfrm>
              <a:custGeom>
                <a:avLst/>
                <a:gdLst>
                  <a:gd name="T0" fmla="*/ 0 w 31"/>
                  <a:gd name="T1" fmla="*/ 1 h 29"/>
                  <a:gd name="T2" fmla="*/ 1 w 31"/>
                  <a:gd name="T3" fmla="*/ 0 h 29"/>
                  <a:gd name="T4" fmla="*/ 1 w 31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29">
                    <a:moveTo>
                      <a:pt x="0" y="29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1" name="Freeform 446"/>
              <xdr:cNvSpPr>
                <a:spLocks noChangeAspect="1"/>
              </xdr:cNvSpPr>
            </xdr:nvSpPr>
            <xdr:spPr bwMode="auto">
              <a:xfrm>
                <a:off x="2322" y="3542"/>
                <a:ext cx="1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2" name="Freeform 447"/>
              <xdr:cNvSpPr>
                <a:spLocks noChangeAspect="1"/>
              </xdr:cNvSpPr>
            </xdr:nvSpPr>
            <xdr:spPr bwMode="auto">
              <a:xfrm>
                <a:off x="2337" y="3525"/>
                <a:ext cx="2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3" name="Freeform 448"/>
              <xdr:cNvSpPr>
                <a:spLocks noChangeAspect="1"/>
              </xdr:cNvSpPr>
            </xdr:nvSpPr>
            <xdr:spPr bwMode="auto">
              <a:xfrm>
                <a:off x="2321" y="3542"/>
                <a:ext cx="2" cy="1"/>
              </a:xfrm>
              <a:custGeom>
                <a:avLst/>
                <a:gdLst>
                  <a:gd name="T0" fmla="*/ 0 w 11"/>
                  <a:gd name="T1" fmla="*/ 0 h 11"/>
                  <a:gd name="T2" fmla="*/ 0 w 11"/>
                  <a:gd name="T3" fmla="*/ 0 h 11"/>
                  <a:gd name="T4" fmla="*/ 0 w 1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1">
                    <a:moveTo>
                      <a:pt x="0" y="11"/>
                    </a:moveTo>
                    <a:lnTo>
                      <a:pt x="10" y="0"/>
                    </a:lnTo>
                    <a:lnTo>
                      <a:pt x="1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4" name="Freeform 449"/>
              <xdr:cNvSpPr>
                <a:spLocks noChangeAspect="1"/>
              </xdr:cNvSpPr>
            </xdr:nvSpPr>
            <xdr:spPr bwMode="auto">
              <a:xfrm>
                <a:off x="2337" y="3524"/>
                <a:ext cx="1" cy="2"/>
              </a:xfrm>
              <a:custGeom>
                <a:avLst/>
                <a:gdLst>
                  <a:gd name="T0" fmla="*/ 0 w 11"/>
                  <a:gd name="T1" fmla="*/ 0 h 10"/>
                  <a:gd name="T2" fmla="*/ 0 w 11"/>
                  <a:gd name="T3" fmla="*/ 0 h 10"/>
                  <a:gd name="T4" fmla="*/ 0 w 11"/>
                  <a:gd name="T5" fmla="*/ 0 h 1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0">
                    <a:moveTo>
                      <a:pt x="0" y="10"/>
                    </a:moveTo>
                    <a:lnTo>
                      <a:pt x="10" y="0"/>
                    </a:lnTo>
                    <a:lnTo>
                      <a:pt x="1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5" name="Freeform 450"/>
              <xdr:cNvSpPr>
                <a:spLocks noChangeAspect="1"/>
              </xdr:cNvSpPr>
            </xdr:nvSpPr>
            <xdr:spPr bwMode="auto">
              <a:xfrm>
                <a:off x="2321" y="3542"/>
                <a:ext cx="1" cy="1"/>
              </a:xfrm>
              <a:custGeom>
                <a:avLst/>
                <a:gdLst>
                  <a:gd name="T0" fmla="*/ 0 w 7"/>
                  <a:gd name="T1" fmla="*/ 0 h 6"/>
                  <a:gd name="T2" fmla="*/ 0 w 7"/>
                  <a:gd name="T3" fmla="*/ 0 h 6"/>
                  <a:gd name="T4" fmla="*/ 0 w 7"/>
                  <a:gd name="T5" fmla="*/ 0 h 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6">
                    <a:moveTo>
                      <a:pt x="0" y="6"/>
                    </a:moveTo>
                    <a:lnTo>
                      <a:pt x="6" y="0"/>
                    </a:lnTo>
                    <a:lnTo>
                      <a:pt x="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6" name="Freeform 451"/>
              <xdr:cNvSpPr>
                <a:spLocks noChangeAspect="1"/>
              </xdr:cNvSpPr>
            </xdr:nvSpPr>
            <xdr:spPr bwMode="auto">
              <a:xfrm>
                <a:off x="2337" y="3524"/>
                <a:ext cx="0" cy="1"/>
              </a:xfrm>
              <a:custGeom>
                <a:avLst/>
                <a:gdLst>
                  <a:gd name="T0" fmla="*/ 0 w 6"/>
                  <a:gd name="T1" fmla="*/ 0 h 6"/>
                  <a:gd name="T2" fmla="*/ 0 w 6"/>
                  <a:gd name="T3" fmla="*/ 0 h 6"/>
                  <a:gd name="T4" fmla="*/ 0 w 6"/>
                  <a:gd name="T5" fmla="*/ 0 h 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6" h="6">
                    <a:moveTo>
                      <a:pt x="0" y="6"/>
                    </a:moveTo>
                    <a:lnTo>
                      <a:pt x="5" y="0"/>
                    </a:lnTo>
                    <a:lnTo>
                      <a:pt x="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7" name="Freeform 452"/>
              <xdr:cNvSpPr>
                <a:spLocks noChangeAspect="1"/>
              </xdr:cNvSpPr>
            </xdr:nvSpPr>
            <xdr:spPr bwMode="auto">
              <a:xfrm>
                <a:off x="2321" y="3542"/>
                <a:ext cx="0" cy="0"/>
              </a:xfrm>
              <a:custGeom>
                <a:avLst/>
                <a:gdLst>
                  <a:gd name="T0" fmla="*/ 0 w 1"/>
                  <a:gd name="T1" fmla="*/ 1 h 1"/>
                  <a:gd name="T2" fmla="*/ 0 w 1"/>
                  <a:gd name="T3" fmla="*/ 0 h 1"/>
                  <a:gd name="T4" fmla="*/ 1 w 1"/>
                  <a:gd name="T5" fmla="*/ 0 h 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">
                    <a:moveTo>
                      <a:pt x="0" y="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8" name="Freeform 453"/>
              <xdr:cNvSpPr>
                <a:spLocks noChangeAspect="1"/>
              </xdr:cNvSpPr>
            </xdr:nvSpPr>
            <xdr:spPr bwMode="auto">
              <a:xfrm>
                <a:off x="2337" y="3524"/>
                <a:ext cx="0" cy="0"/>
              </a:xfrm>
              <a:custGeom>
                <a:avLst/>
                <a:gdLst>
                  <a:gd name="T0" fmla="*/ 0 w 1"/>
                  <a:gd name="T1" fmla="*/ 1 h 1"/>
                  <a:gd name="T2" fmla="*/ 0 w 1"/>
                  <a:gd name="T3" fmla="*/ 0 h 1"/>
                  <a:gd name="T4" fmla="*/ 1 w 1"/>
                  <a:gd name="T5" fmla="*/ 0 h 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">
                    <a:moveTo>
                      <a:pt x="0" y="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9" name="Line 454"/>
              <xdr:cNvSpPr>
                <a:spLocks noChangeAspect="1" noChangeShapeType="1"/>
              </xdr:cNvSpPr>
            </xdr:nvSpPr>
            <xdr:spPr bwMode="auto">
              <a:xfrm>
                <a:off x="2327" y="3531"/>
                <a:ext cx="0" cy="0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70" name="Freeform 455"/>
              <xdr:cNvSpPr>
                <a:spLocks noChangeAspect="1"/>
              </xdr:cNvSpPr>
            </xdr:nvSpPr>
            <xdr:spPr bwMode="auto">
              <a:xfrm>
                <a:off x="2326" y="3530"/>
                <a:ext cx="1" cy="1"/>
              </a:xfrm>
              <a:custGeom>
                <a:avLst/>
                <a:gdLst>
                  <a:gd name="T0" fmla="*/ 0 w 9"/>
                  <a:gd name="T1" fmla="*/ 0 h 7"/>
                  <a:gd name="T2" fmla="*/ 0 w 9"/>
                  <a:gd name="T3" fmla="*/ 0 h 7"/>
                  <a:gd name="T4" fmla="*/ 0 w 9"/>
                  <a:gd name="T5" fmla="*/ 0 h 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9" h="7">
                    <a:moveTo>
                      <a:pt x="0" y="7"/>
                    </a:moveTo>
                    <a:lnTo>
                      <a:pt x="8" y="0"/>
                    </a:lnTo>
                    <a:lnTo>
                      <a:pt x="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1" name="Freeform 456"/>
              <xdr:cNvSpPr>
                <a:spLocks noChangeAspect="1"/>
              </xdr:cNvSpPr>
            </xdr:nvSpPr>
            <xdr:spPr bwMode="auto">
              <a:xfrm>
                <a:off x="2325" y="3529"/>
                <a:ext cx="2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2" name="Freeform 457"/>
              <xdr:cNvSpPr>
                <a:spLocks noChangeAspect="1"/>
              </xdr:cNvSpPr>
            </xdr:nvSpPr>
            <xdr:spPr bwMode="auto">
              <a:xfrm>
                <a:off x="2324" y="3528"/>
                <a:ext cx="3" cy="3"/>
              </a:xfrm>
              <a:custGeom>
                <a:avLst/>
                <a:gdLst>
                  <a:gd name="T0" fmla="*/ 0 w 23"/>
                  <a:gd name="T1" fmla="*/ 0 h 21"/>
                  <a:gd name="T2" fmla="*/ 0 w 23"/>
                  <a:gd name="T3" fmla="*/ 0 h 21"/>
                  <a:gd name="T4" fmla="*/ 0 w 23"/>
                  <a:gd name="T5" fmla="*/ 0 h 2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3" h="21">
                    <a:moveTo>
                      <a:pt x="0" y="21"/>
                    </a:moveTo>
                    <a:lnTo>
                      <a:pt x="22" y="0"/>
                    </a:lnTo>
                    <a:lnTo>
                      <a:pt x="2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3" name="Freeform 458"/>
              <xdr:cNvSpPr>
                <a:spLocks noChangeAspect="1"/>
              </xdr:cNvSpPr>
            </xdr:nvSpPr>
            <xdr:spPr bwMode="auto">
              <a:xfrm>
                <a:off x="2323" y="3527"/>
                <a:ext cx="4" cy="4"/>
              </a:xfrm>
              <a:custGeom>
                <a:avLst/>
                <a:gdLst>
                  <a:gd name="T0" fmla="*/ 0 w 29"/>
                  <a:gd name="T1" fmla="*/ 1 h 29"/>
                  <a:gd name="T2" fmla="*/ 1 w 29"/>
                  <a:gd name="T3" fmla="*/ 0 h 29"/>
                  <a:gd name="T4" fmla="*/ 1 w 29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9" h="29">
                    <a:moveTo>
                      <a:pt x="0" y="29"/>
                    </a:move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4" name="Freeform 459"/>
              <xdr:cNvSpPr>
                <a:spLocks noChangeAspect="1"/>
              </xdr:cNvSpPr>
            </xdr:nvSpPr>
            <xdr:spPr bwMode="auto">
              <a:xfrm>
                <a:off x="2322" y="3526"/>
                <a:ext cx="5" cy="5"/>
              </a:xfrm>
              <a:custGeom>
                <a:avLst/>
                <a:gdLst>
                  <a:gd name="T0" fmla="*/ 0 w 37"/>
                  <a:gd name="T1" fmla="*/ 1 h 35"/>
                  <a:gd name="T2" fmla="*/ 1 w 37"/>
                  <a:gd name="T3" fmla="*/ 0 h 35"/>
                  <a:gd name="T4" fmla="*/ 1 w 37"/>
                  <a:gd name="T5" fmla="*/ 0 h 3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7" h="35">
                    <a:moveTo>
                      <a:pt x="0" y="35"/>
                    </a:moveTo>
                    <a:lnTo>
                      <a:pt x="36" y="0"/>
                    </a:lnTo>
                    <a:lnTo>
                      <a:pt x="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5" name="Freeform 460"/>
              <xdr:cNvSpPr>
                <a:spLocks noChangeAspect="1"/>
              </xdr:cNvSpPr>
            </xdr:nvSpPr>
            <xdr:spPr bwMode="auto">
              <a:xfrm>
                <a:off x="2322" y="3525"/>
                <a:ext cx="5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6" name="Freeform 461"/>
              <xdr:cNvSpPr>
                <a:spLocks noChangeAspect="1"/>
              </xdr:cNvSpPr>
            </xdr:nvSpPr>
            <xdr:spPr bwMode="auto">
              <a:xfrm>
                <a:off x="2321" y="3524"/>
                <a:ext cx="6" cy="7"/>
              </a:xfrm>
              <a:custGeom>
                <a:avLst/>
                <a:gdLst>
                  <a:gd name="T0" fmla="*/ 0 w 51"/>
                  <a:gd name="T1" fmla="*/ 1 h 49"/>
                  <a:gd name="T2" fmla="*/ 1 w 51"/>
                  <a:gd name="T3" fmla="*/ 0 h 49"/>
                  <a:gd name="T4" fmla="*/ 1 w 51"/>
                  <a:gd name="T5" fmla="*/ 0 h 4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1" h="49">
                    <a:moveTo>
                      <a:pt x="0" y="49"/>
                    </a:moveTo>
                    <a:lnTo>
                      <a:pt x="50" y="0"/>
                    </a:lnTo>
                    <a:lnTo>
                      <a:pt x="5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7" name="Freeform 462"/>
              <xdr:cNvSpPr>
                <a:spLocks noChangeAspect="1"/>
              </xdr:cNvSpPr>
            </xdr:nvSpPr>
            <xdr:spPr bwMode="auto">
              <a:xfrm>
                <a:off x="2321" y="3525"/>
                <a:ext cx="4" cy="4"/>
              </a:xfrm>
              <a:custGeom>
                <a:avLst/>
                <a:gdLst>
                  <a:gd name="T0" fmla="*/ 0 w 31"/>
                  <a:gd name="T1" fmla="*/ 1 h 29"/>
                  <a:gd name="T2" fmla="*/ 1 w 31"/>
                  <a:gd name="T3" fmla="*/ 0 h 29"/>
                  <a:gd name="T4" fmla="*/ 1 w 31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29">
                    <a:moveTo>
                      <a:pt x="0" y="29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8" name="Freeform 463"/>
              <xdr:cNvSpPr>
                <a:spLocks noChangeAspect="1"/>
              </xdr:cNvSpPr>
            </xdr:nvSpPr>
            <xdr:spPr bwMode="auto">
              <a:xfrm>
                <a:off x="2315" y="3516"/>
                <a:ext cx="34" cy="0"/>
              </a:xfrm>
              <a:custGeom>
                <a:avLst/>
                <a:gdLst>
                  <a:gd name="T0" fmla="*/ 0 w 267"/>
                  <a:gd name="T1" fmla="*/ 4 w 267"/>
                  <a:gd name="T2" fmla="*/ 4 w 26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7">
                    <a:moveTo>
                      <a:pt x="0" y="0"/>
                    </a:moveTo>
                    <a:lnTo>
                      <a:pt x="266" y="0"/>
                    </a:lnTo>
                    <a:lnTo>
                      <a:pt x="2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9" name="Freeform 464"/>
              <xdr:cNvSpPr>
                <a:spLocks noChangeAspect="1"/>
              </xdr:cNvSpPr>
            </xdr:nvSpPr>
            <xdr:spPr bwMode="auto">
              <a:xfrm>
                <a:off x="2313" y="3496"/>
                <a:ext cx="38" cy="0"/>
              </a:xfrm>
              <a:custGeom>
                <a:avLst/>
                <a:gdLst>
                  <a:gd name="T0" fmla="*/ 0 w 309"/>
                  <a:gd name="T1" fmla="*/ 5 w 309"/>
                  <a:gd name="T2" fmla="*/ 5 w 30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9">
                    <a:moveTo>
                      <a:pt x="0" y="0"/>
                    </a:moveTo>
                    <a:lnTo>
                      <a:pt x="308" y="0"/>
                    </a:lnTo>
                    <a:lnTo>
                      <a:pt x="30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0" name="Freeform 465"/>
              <xdr:cNvSpPr>
                <a:spLocks noChangeAspect="1"/>
              </xdr:cNvSpPr>
            </xdr:nvSpPr>
            <xdr:spPr bwMode="auto">
              <a:xfrm>
                <a:off x="2316" y="3513"/>
                <a:ext cx="32" cy="0"/>
              </a:xfrm>
              <a:custGeom>
                <a:avLst/>
                <a:gdLst>
                  <a:gd name="T0" fmla="*/ 0 w 253"/>
                  <a:gd name="T1" fmla="*/ 4 w 253"/>
                  <a:gd name="T2" fmla="*/ 4 w 2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3">
                    <a:moveTo>
                      <a:pt x="0" y="0"/>
                    </a:moveTo>
                    <a:lnTo>
                      <a:pt x="252" y="0"/>
                    </a:lnTo>
                    <a:lnTo>
                      <a:pt x="2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1" name="Freeform 466"/>
              <xdr:cNvSpPr>
                <a:spLocks noChangeAspect="1"/>
              </xdr:cNvSpPr>
            </xdr:nvSpPr>
            <xdr:spPr bwMode="auto">
              <a:xfrm>
                <a:off x="2316" y="3499"/>
                <a:ext cx="32" cy="0"/>
              </a:xfrm>
              <a:custGeom>
                <a:avLst/>
                <a:gdLst>
                  <a:gd name="T0" fmla="*/ 4 w 256"/>
                  <a:gd name="T1" fmla="*/ 0 w 256"/>
                  <a:gd name="T2" fmla="*/ 0 w 2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6">
                    <a:moveTo>
                      <a:pt x="25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2" name="Freeform 467"/>
              <xdr:cNvSpPr>
                <a:spLocks noChangeAspect="1"/>
              </xdr:cNvSpPr>
            </xdr:nvSpPr>
            <xdr:spPr bwMode="auto">
              <a:xfrm>
                <a:off x="2316" y="3506"/>
                <a:ext cx="32" cy="0"/>
              </a:xfrm>
              <a:custGeom>
                <a:avLst/>
                <a:gdLst>
                  <a:gd name="T0" fmla="*/ 4 w 256"/>
                  <a:gd name="T1" fmla="*/ 0 w 256"/>
                  <a:gd name="T2" fmla="*/ 0 w 2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6">
                    <a:moveTo>
                      <a:pt x="25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3" name="Freeform 468"/>
              <xdr:cNvSpPr>
                <a:spLocks noChangeAspect="1"/>
              </xdr:cNvSpPr>
            </xdr:nvSpPr>
            <xdr:spPr bwMode="auto">
              <a:xfrm>
                <a:off x="2320" y="3499"/>
                <a:ext cx="24" cy="0"/>
              </a:xfrm>
              <a:custGeom>
                <a:avLst/>
                <a:gdLst>
                  <a:gd name="T0" fmla="*/ 0 w 196"/>
                  <a:gd name="T1" fmla="*/ 3 w 196"/>
                  <a:gd name="T2" fmla="*/ 3 w 19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6">
                    <a:moveTo>
                      <a:pt x="0" y="0"/>
                    </a:moveTo>
                    <a:lnTo>
                      <a:pt x="194" y="0"/>
                    </a:lnTo>
                    <a:lnTo>
                      <a:pt x="19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4" name="Freeform 469"/>
              <xdr:cNvSpPr>
                <a:spLocks noChangeAspect="1"/>
              </xdr:cNvSpPr>
            </xdr:nvSpPr>
            <xdr:spPr bwMode="auto">
              <a:xfrm>
                <a:off x="2317" y="3549"/>
                <a:ext cx="10" cy="0"/>
              </a:xfrm>
              <a:custGeom>
                <a:avLst/>
                <a:gdLst>
                  <a:gd name="T0" fmla="*/ 0 w 83"/>
                  <a:gd name="T1" fmla="*/ 1 w 83"/>
                  <a:gd name="T2" fmla="*/ 1 w 8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3">
                    <a:moveTo>
                      <a:pt x="0" y="0"/>
                    </a:moveTo>
                    <a:lnTo>
                      <a:pt x="82" y="0"/>
                    </a:lnTo>
                    <a:lnTo>
                      <a:pt x="8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5" name="Freeform 470"/>
              <xdr:cNvSpPr>
                <a:spLocks noChangeAspect="1"/>
              </xdr:cNvSpPr>
            </xdr:nvSpPr>
            <xdr:spPr bwMode="auto">
              <a:xfrm>
                <a:off x="2317" y="3524"/>
                <a:ext cx="10" cy="0"/>
              </a:xfrm>
              <a:custGeom>
                <a:avLst/>
                <a:gdLst>
                  <a:gd name="T0" fmla="*/ 0 w 83"/>
                  <a:gd name="T1" fmla="*/ 1 w 83"/>
                  <a:gd name="T2" fmla="*/ 1 w 8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3">
                    <a:moveTo>
                      <a:pt x="0" y="0"/>
                    </a:moveTo>
                    <a:lnTo>
                      <a:pt x="82" y="0"/>
                    </a:lnTo>
                    <a:lnTo>
                      <a:pt x="8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6" name="Freeform 471"/>
              <xdr:cNvSpPr>
                <a:spLocks noChangeAspect="1"/>
              </xdr:cNvSpPr>
            </xdr:nvSpPr>
            <xdr:spPr bwMode="auto">
              <a:xfrm>
                <a:off x="2321" y="3542"/>
                <a:ext cx="11" cy="0"/>
              </a:xfrm>
              <a:custGeom>
                <a:avLst/>
                <a:gdLst>
                  <a:gd name="T0" fmla="*/ 0 w 92"/>
                  <a:gd name="T1" fmla="*/ 1 w 92"/>
                  <a:gd name="T2" fmla="*/ 1 w 92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2">
                    <a:moveTo>
                      <a:pt x="0" y="0"/>
                    </a:moveTo>
                    <a:lnTo>
                      <a:pt x="91" y="0"/>
                    </a:lnTo>
                    <a:lnTo>
                      <a:pt x="9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7" name="Freeform 472"/>
              <xdr:cNvSpPr>
                <a:spLocks noChangeAspect="1"/>
              </xdr:cNvSpPr>
            </xdr:nvSpPr>
            <xdr:spPr bwMode="auto">
              <a:xfrm>
                <a:off x="2324" y="3537"/>
                <a:ext cx="3" cy="0"/>
              </a:xfrm>
              <a:custGeom>
                <a:avLst/>
                <a:gdLst>
                  <a:gd name="T0" fmla="*/ 0 w 24"/>
                  <a:gd name="T1" fmla="*/ 0 w 24"/>
                  <a:gd name="T2" fmla="*/ 0 w 2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">
                    <a:moveTo>
                      <a:pt x="0" y="0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8" name="Freeform 473"/>
              <xdr:cNvSpPr>
                <a:spLocks noChangeAspect="1"/>
              </xdr:cNvSpPr>
            </xdr:nvSpPr>
            <xdr:spPr bwMode="auto">
              <a:xfrm>
                <a:off x="2321" y="3531"/>
                <a:ext cx="6" cy="0"/>
              </a:xfrm>
              <a:custGeom>
                <a:avLst/>
                <a:gdLst>
                  <a:gd name="T0" fmla="*/ 0 w 52"/>
                  <a:gd name="T1" fmla="*/ 1 w 52"/>
                  <a:gd name="T2" fmla="*/ 1 w 52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2">
                    <a:moveTo>
                      <a:pt x="0" y="0"/>
                    </a:moveTo>
                    <a:lnTo>
                      <a:pt x="51" y="0"/>
                    </a:lnTo>
                    <a:lnTo>
                      <a:pt x="5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30" name="Group 474"/>
            <xdr:cNvGrpSpPr>
              <a:grpSpLocks noChangeAspect="1"/>
            </xdr:cNvGrpSpPr>
          </xdr:nvGrpSpPr>
          <xdr:grpSpPr bwMode="auto">
            <a:xfrm>
              <a:off x="1376" y="1627"/>
              <a:ext cx="421" cy="320"/>
              <a:chOff x="2322" y="2929"/>
              <a:chExt cx="147" cy="112"/>
            </a:xfrm>
          </xdr:grpSpPr>
          <xdr:sp macro="" textlink="">
            <xdr:nvSpPr>
              <xdr:cNvPr id="229" name="Freeform 475"/>
              <xdr:cNvSpPr>
                <a:spLocks noChangeAspect="1"/>
              </xdr:cNvSpPr>
            </xdr:nvSpPr>
            <xdr:spPr bwMode="auto">
              <a:xfrm>
                <a:off x="2464" y="2937"/>
                <a:ext cx="2" cy="0"/>
              </a:xfrm>
              <a:custGeom>
                <a:avLst/>
                <a:gdLst>
                  <a:gd name="T0" fmla="*/ 0 w 17"/>
                  <a:gd name="T1" fmla="*/ 0 w 17"/>
                  <a:gd name="T2" fmla="*/ 0 w 1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7">
                    <a:moveTo>
                      <a:pt x="0" y="0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0" name="Freeform 476"/>
              <xdr:cNvSpPr>
                <a:spLocks noChangeAspect="1"/>
              </xdr:cNvSpPr>
            </xdr:nvSpPr>
            <xdr:spPr bwMode="auto">
              <a:xfrm>
                <a:off x="2419" y="2943"/>
                <a:ext cx="44" cy="0"/>
              </a:xfrm>
              <a:custGeom>
                <a:avLst/>
                <a:gdLst>
                  <a:gd name="T0" fmla="*/ 0 w 356"/>
                  <a:gd name="T1" fmla="*/ 5 w 356"/>
                  <a:gd name="T2" fmla="*/ 5 w 3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56">
                    <a:moveTo>
                      <a:pt x="0" y="0"/>
                    </a:moveTo>
                    <a:lnTo>
                      <a:pt x="355" y="0"/>
                    </a:lnTo>
                    <a:lnTo>
                      <a:pt x="35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1" name="Freeform 477"/>
              <xdr:cNvSpPr>
                <a:spLocks noChangeAspect="1"/>
              </xdr:cNvSpPr>
            </xdr:nvSpPr>
            <xdr:spPr bwMode="auto">
              <a:xfrm>
                <a:off x="2395" y="3020"/>
                <a:ext cx="62" cy="21"/>
              </a:xfrm>
              <a:custGeom>
                <a:avLst/>
                <a:gdLst>
                  <a:gd name="T0" fmla="*/ 8 w 493"/>
                  <a:gd name="T1" fmla="*/ 0 h 147"/>
                  <a:gd name="T2" fmla="*/ 0 w 493"/>
                  <a:gd name="T3" fmla="*/ 3 h 147"/>
                  <a:gd name="T4" fmla="*/ 0 w 493"/>
                  <a:gd name="T5" fmla="*/ 3 h 1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3" h="147">
                    <a:moveTo>
                      <a:pt x="493" y="0"/>
                    </a:moveTo>
                    <a:lnTo>
                      <a:pt x="0" y="147"/>
                    </a:lnTo>
                    <a:lnTo>
                      <a:pt x="1" y="14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2" name="Freeform 478"/>
              <xdr:cNvSpPr>
                <a:spLocks noChangeAspect="1"/>
              </xdr:cNvSpPr>
            </xdr:nvSpPr>
            <xdr:spPr bwMode="auto">
              <a:xfrm>
                <a:off x="2419" y="3018"/>
                <a:ext cx="39" cy="0"/>
              </a:xfrm>
              <a:custGeom>
                <a:avLst/>
                <a:gdLst>
                  <a:gd name="T0" fmla="*/ 0 w 310"/>
                  <a:gd name="T1" fmla="*/ 5 w 310"/>
                  <a:gd name="T2" fmla="*/ 5 w 31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10">
                    <a:moveTo>
                      <a:pt x="0" y="0"/>
                    </a:moveTo>
                    <a:lnTo>
                      <a:pt x="309" y="0"/>
                    </a:lnTo>
                    <a:lnTo>
                      <a:pt x="31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3" name="Freeform 479"/>
              <xdr:cNvSpPr>
                <a:spLocks noChangeAspect="1"/>
              </xdr:cNvSpPr>
            </xdr:nvSpPr>
            <xdr:spPr bwMode="auto">
              <a:xfrm>
                <a:off x="2415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4" name="Freeform 480"/>
              <xdr:cNvSpPr>
                <a:spLocks noChangeAspect="1"/>
              </xdr:cNvSpPr>
            </xdr:nvSpPr>
            <xdr:spPr bwMode="auto">
              <a:xfrm>
                <a:off x="2419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5" name="Freeform 481"/>
              <xdr:cNvSpPr>
                <a:spLocks noChangeAspect="1"/>
              </xdr:cNvSpPr>
            </xdr:nvSpPr>
            <xdr:spPr bwMode="auto">
              <a:xfrm>
                <a:off x="2457" y="2929"/>
                <a:ext cx="7" cy="93"/>
              </a:xfrm>
              <a:custGeom>
                <a:avLst/>
                <a:gdLst>
                  <a:gd name="T0" fmla="*/ 1 w 58"/>
                  <a:gd name="T1" fmla="*/ 0 h 652"/>
                  <a:gd name="T2" fmla="*/ 0 w 58"/>
                  <a:gd name="T3" fmla="*/ 13 h 652"/>
                  <a:gd name="T4" fmla="*/ 0 w 58"/>
                  <a:gd name="T5" fmla="*/ 13 h 6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8" h="652">
                    <a:moveTo>
                      <a:pt x="58" y="0"/>
                    </a:moveTo>
                    <a:lnTo>
                      <a:pt x="0" y="652"/>
                    </a:lnTo>
                    <a:lnTo>
                      <a:pt x="1" y="65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6" name="Freeform 482"/>
              <xdr:cNvSpPr>
                <a:spLocks noChangeAspect="1"/>
              </xdr:cNvSpPr>
            </xdr:nvSpPr>
            <xdr:spPr bwMode="auto">
              <a:xfrm>
                <a:off x="2328" y="2943"/>
                <a:ext cx="44" cy="0"/>
              </a:xfrm>
              <a:custGeom>
                <a:avLst/>
                <a:gdLst>
                  <a:gd name="T0" fmla="*/ 5 w 355"/>
                  <a:gd name="T1" fmla="*/ 0 w 355"/>
                  <a:gd name="T2" fmla="*/ 0 w 355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55">
                    <a:moveTo>
                      <a:pt x="355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7" name="Freeform 483"/>
              <xdr:cNvSpPr>
                <a:spLocks noChangeAspect="1"/>
              </xdr:cNvSpPr>
            </xdr:nvSpPr>
            <xdr:spPr bwMode="auto">
              <a:xfrm>
                <a:off x="2334" y="3018"/>
                <a:ext cx="38" cy="0"/>
              </a:xfrm>
              <a:custGeom>
                <a:avLst/>
                <a:gdLst>
                  <a:gd name="T0" fmla="*/ 5 w 309"/>
                  <a:gd name="T1" fmla="*/ 0 w 309"/>
                  <a:gd name="T2" fmla="*/ 0 w 30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9">
                    <a:moveTo>
                      <a:pt x="309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8" name="Freeform 484"/>
              <xdr:cNvSpPr>
                <a:spLocks noChangeAspect="1"/>
              </xdr:cNvSpPr>
            </xdr:nvSpPr>
            <xdr:spPr bwMode="auto">
              <a:xfrm>
                <a:off x="2327" y="2929"/>
                <a:ext cx="7" cy="93"/>
              </a:xfrm>
              <a:custGeom>
                <a:avLst/>
                <a:gdLst>
                  <a:gd name="T0" fmla="*/ 0 w 59"/>
                  <a:gd name="T1" fmla="*/ 0 h 652"/>
                  <a:gd name="T2" fmla="*/ 1 w 59"/>
                  <a:gd name="T3" fmla="*/ 13 h 652"/>
                  <a:gd name="T4" fmla="*/ 1 w 59"/>
                  <a:gd name="T5" fmla="*/ 13 h 6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9" h="652">
                    <a:moveTo>
                      <a:pt x="0" y="0"/>
                    </a:moveTo>
                    <a:lnTo>
                      <a:pt x="58" y="652"/>
                    </a:lnTo>
                    <a:lnTo>
                      <a:pt x="59" y="65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9" name="Freeform 485"/>
              <xdr:cNvSpPr>
                <a:spLocks noChangeAspect="1"/>
              </xdr:cNvSpPr>
            </xdr:nvSpPr>
            <xdr:spPr bwMode="auto">
              <a:xfrm>
                <a:off x="2376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0" name="Freeform 486"/>
              <xdr:cNvSpPr>
                <a:spLocks noChangeAspect="1"/>
              </xdr:cNvSpPr>
            </xdr:nvSpPr>
            <xdr:spPr bwMode="auto">
              <a:xfrm>
                <a:off x="2372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1" name="Freeform 487"/>
              <xdr:cNvSpPr>
                <a:spLocks noChangeAspect="1"/>
              </xdr:cNvSpPr>
            </xdr:nvSpPr>
            <xdr:spPr bwMode="auto">
              <a:xfrm>
                <a:off x="2334" y="3018"/>
                <a:ext cx="81" cy="0"/>
              </a:xfrm>
              <a:custGeom>
                <a:avLst/>
                <a:gdLst>
                  <a:gd name="T0" fmla="*/ 0 w 653"/>
                  <a:gd name="T1" fmla="*/ 10 w 653"/>
                  <a:gd name="T2" fmla="*/ 10 w 6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653">
                    <a:moveTo>
                      <a:pt x="0" y="0"/>
                    </a:moveTo>
                    <a:lnTo>
                      <a:pt x="652" y="0"/>
                    </a:lnTo>
                    <a:lnTo>
                      <a:pt x="6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2" name="Freeform 488"/>
              <xdr:cNvSpPr>
                <a:spLocks noChangeAspect="1"/>
              </xdr:cNvSpPr>
            </xdr:nvSpPr>
            <xdr:spPr bwMode="auto">
              <a:xfrm>
                <a:off x="2334" y="3020"/>
                <a:ext cx="62" cy="21"/>
              </a:xfrm>
              <a:custGeom>
                <a:avLst/>
                <a:gdLst>
                  <a:gd name="T0" fmla="*/ 0 w 493"/>
                  <a:gd name="T1" fmla="*/ 0 h 147"/>
                  <a:gd name="T2" fmla="*/ 8 w 493"/>
                  <a:gd name="T3" fmla="*/ 3 h 147"/>
                  <a:gd name="T4" fmla="*/ 8 w 493"/>
                  <a:gd name="T5" fmla="*/ 3 h 1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3" h="147">
                    <a:moveTo>
                      <a:pt x="0" y="0"/>
                    </a:moveTo>
                    <a:lnTo>
                      <a:pt x="492" y="147"/>
                    </a:lnTo>
                    <a:lnTo>
                      <a:pt x="493" y="14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3" name="Freeform 489"/>
              <xdr:cNvSpPr>
                <a:spLocks noChangeAspect="1"/>
              </xdr:cNvSpPr>
            </xdr:nvSpPr>
            <xdr:spPr bwMode="auto">
              <a:xfrm>
                <a:off x="2376" y="2943"/>
                <a:ext cx="39" cy="0"/>
              </a:xfrm>
              <a:custGeom>
                <a:avLst/>
                <a:gdLst>
                  <a:gd name="T0" fmla="*/ 0 w 314"/>
                  <a:gd name="T1" fmla="*/ 5 w 314"/>
                  <a:gd name="T2" fmla="*/ 5 w 31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14">
                    <a:moveTo>
                      <a:pt x="0" y="0"/>
                    </a:moveTo>
                    <a:lnTo>
                      <a:pt x="313" y="0"/>
                    </a:lnTo>
                    <a:lnTo>
                      <a:pt x="3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4" name="Freeform 490"/>
              <xdr:cNvSpPr>
                <a:spLocks noChangeAspect="1"/>
              </xdr:cNvSpPr>
            </xdr:nvSpPr>
            <xdr:spPr bwMode="auto">
              <a:xfrm>
                <a:off x="2466" y="2933"/>
                <a:ext cx="3" cy="4"/>
              </a:xfrm>
              <a:custGeom>
                <a:avLst/>
                <a:gdLst>
                  <a:gd name="T0" fmla="*/ 0 w 29"/>
                  <a:gd name="T1" fmla="*/ 1 h 28"/>
                  <a:gd name="T2" fmla="*/ 0 w 29"/>
                  <a:gd name="T3" fmla="*/ 0 h 28"/>
                  <a:gd name="T4" fmla="*/ 0 w 29"/>
                  <a:gd name="T5" fmla="*/ 0 h 28"/>
                  <a:gd name="T6" fmla="*/ 0 w 29"/>
                  <a:gd name="T7" fmla="*/ 0 h 28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9" h="28">
                    <a:moveTo>
                      <a:pt x="0" y="28"/>
                    </a:moveTo>
                    <a:lnTo>
                      <a:pt x="20" y="21"/>
                    </a:ln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5" name="Freeform 491"/>
              <xdr:cNvSpPr>
                <a:spLocks noChangeAspect="1"/>
              </xdr:cNvSpPr>
            </xdr:nvSpPr>
            <xdr:spPr bwMode="auto">
              <a:xfrm>
                <a:off x="2322" y="2933"/>
                <a:ext cx="4" cy="4"/>
              </a:xfrm>
              <a:custGeom>
                <a:avLst/>
                <a:gdLst>
                  <a:gd name="T0" fmla="*/ 0 w 29"/>
                  <a:gd name="T1" fmla="*/ 0 h 28"/>
                  <a:gd name="T2" fmla="*/ 0 w 29"/>
                  <a:gd name="T3" fmla="*/ 0 h 28"/>
                  <a:gd name="T4" fmla="*/ 1 w 29"/>
                  <a:gd name="T5" fmla="*/ 1 h 28"/>
                  <a:gd name="T6" fmla="*/ 1 w 29"/>
                  <a:gd name="T7" fmla="*/ 1 h 28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9" h="28">
                    <a:moveTo>
                      <a:pt x="0" y="0"/>
                    </a:moveTo>
                    <a:lnTo>
                      <a:pt x="8" y="21"/>
                    </a:lnTo>
                    <a:lnTo>
                      <a:pt x="28" y="28"/>
                    </a:lnTo>
                    <a:lnTo>
                      <a:pt x="29" y="28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6" name="Freeform 492"/>
              <xdr:cNvSpPr>
                <a:spLocks noChangeAspect="1"/>
              </xdr:cNvSpPr>
            </xdr:nvSpPr>
            <xdr:spPr bwMode="auto">
              <a:xfrm>
                <a:off x="2325" y="2937"/>
                <a:ext cx="3" cy="0"/>
              </a:xfrm>
              <a:custGeom>
                <a:avLst/>
                <a:gdLst>
                  <a:gd name="T0" fmla="*/ 0 w 17"/>
                  <a:gd name="T1" fmla="*/ 1 w 17"/>
                  <a:gd name="T2" fmla="*/ 1 w 1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7">
                    <a:moveTo>
                      <a:pt x="0" y="0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31" name="Freeform 493"/>
            <xdr:cNvSpPr>
              <a:spLocks noChangeAspect="1"/>
            </xdr:cNvSpPr>
          </xdr:nvSpPr>
          <xdr:spPr bwMode="auto">
            <a:xfrm>
              <a:off x="1214" y="1627"/>
              <a:ext cx="720" cy="0"/>
            </a:xfrm>
            <a:custGeom>
              <a:avLst/>
              <a:gdLst>
                <a:gd name="T0" fmla="*/ 0 w 2020"/>
                <a:gd name="T1" fmla="*/ 256 w 2020"/>
                <a:gd name="T2" fmla="*/ 257 w 202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020">
                  <a:moveTo>
                    <a:pt x="0" y="0"/>
                  </a:moveTo>
                  <a:lnTo>
                    <a:pt x="2018" y="0"/>
                  </a:lnTo>
                  <a:lnTo>
                    <a:pt x="202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" name="Freeform 494"/>
            <xdr:cNvSpPr>
              <a:spLocks noChangeAspect="1"/>
            </xdr:cNvSpPr>
          </xdr:nvSpPr>
          <xdr:spPr bwMode="auto">
            <a:xfrm>
              <a:off x="1799" y="1621"/>
              <a:ext cx="0" cy="6"/>
            </a:xfrm>
            <a:custGeom>
              <a:avLst/>
              <a:gdLst>
                <a:gd name="T0" fmla="*/ 0 w 1"/>
                <a:gd name="T1" fmla="*/ 2 h 15"/>
                <a:gd name="T2" fmla="*/ 0 w 1"/>
                <a:gd name="T3" fmla="*/ 0 h 15"/>
                <a:gd name="T4" fmla="*/ 1 w 1"/>
                <a:gd name="T5" fmla="*/ 0 h 1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5">
                  <a:moveTo>
                    <a:pt x="0" y="15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" name="Freeform 495"/>
            <xdr:cNvSpPr>
              <a:spLocks noChangeAspect="1"/>
            </xdr:cNvSpPr>
          </xdr:nvSpPr>
          <xdr:spPr bwMode="auto">
            <a:xfrm>
              <a:off x="1376" y="1621"/>
              <a:ext cx="0" cy="6"/>
            </a:xfrm>
            <a:custGeom>
              <a:avLst/>
              <a:gdLst>
                <a:gd name="T0" fmla="*/ 0 w 1"/>
                <a:gd name="T1" fmla="*/ 2 h 15"/>
                <a:gd name="T2" fmla="*/ 0 w 1"/>
                <a:gd name="T3" fmla="*/ 0 h 15"/>
                <a:gd name="T4" fmla="*/ 1 w 1"/>
                <a:gd name="T5" fmla="*/ 0 h 1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5">
                  <a:moveTo>
                    <a:pt x="0" y="15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" name="Freeform 496"/>
            <xdr:cNvSpPr>
              <a:spLocks noChangeAspect="1"/>
            </xdr:cNvSpPr>
          </xdr:nvSpPr>
          <xdr:spPr bwMode="auto">
            <a:xfrm>
              <a:off x="1376" y="1621"/>
              <a:ext cx="423" cy="0"/>
            </a:xfrm>
            <a:custGeom>
              <a:avLst/>
              <a:gdLst>
                <a:gd name="T0" fmla="*/ 0 w 1184"/>
                <a:gd name="T1" fmla="*/ 151 w 1184"/>
                <a:gd name="T2" fmla="*/ 151 w 118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184">
                  <a:moveTo>
                    <a:pt x="0" y="0"/>
                  </a:moveTo>
                  <a:lnTo>
                    <a:pt x="1183" y="0"/>
                  </a:lnTo>
                  <a:lnTo>
                    <a:pt x="118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" name="Freeform 497"/>
            <xdr:cNvSpPr>
              <a:spLocks noChangeAspect="1"/>
            </xdr:cNvSpPr>
          </xdr:nvSpPr>
          <xdr:spPr bwMode="auto">
            <a:xfrm>
              <a:off x="1376" y="1627"/>
              <a:ext cx="423" cy="0"/>
            </a:xfrm>
            <a:custGeom>
              <a:avLst/>
              <a:gdLst>
                <a:gd name="T0" fmla="*/ 0 w 1184"/>
                <a:gd name="T1" fmla="*/ 151 w 1184"/>
                <a:gd name="T2" fmla="*/ 151 w 118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184">
                  <a:moveTo>
                    <a:pt x="0" y="0"/>
                  </a:moveTo>
                  <a:lnTo>
                    <a:pt x="1183" y="0"/>
                  </a:lnTo>
                  <a:lnTo>
                    <a:pt x="118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" name="Freeform 498"/>
            <xdr:cNvSpPr>
              <a:spLocks noChangeAspect="1"/>
            </xdr:cNvSpPr>
          </xdr:nvSpPr>
          <xdr:spPr bwMode="auto">
            <a:xfrm>
              <a:off x="1797" y="1627"/>
              <a:ext cx="5" cy="5"/>
            </a:xfrm>
            <a:custGeom>
              <a:avLst/>
              <a:gdLst>
                <a:gd name="T0" fmla="*/ 2 w 12"/>
                <a:gd name="T1" fmla="*/ 0 h 11"/>
                <a:gd name="T2" fmla="*/ 0 w 12"/>
                <a:gd name="T3" fmla="*/ 0 h 11"/>
                <a:gd name="T4" fmla="*/ 0 w 12"/>
                <a:gd name="T5" fmla="*/ 2 h 11"/>
                <a:gd name="T6" fmla="*/ 0 w 12"/>
                <a:gd name="T7" fmla="*/ 2 h 1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11">
                  <a:moveTo>
                    <a:pt x="12" y="0"/>
                  </a:moveTo>
                  <a:lnTo>
                    <a:pt x="3" y="3"/>
                  </a:lnTo>
                  <a:lnTo>
                    <a:pt x="0" y="11"/>
                  </a:lnTo>
                  <a:lnTo>
                    <a:pt x="1" y="11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" name="Freeform 499"/>
            <xdr:cNvSpPr>
              <a:spLocks noChangeAspect="1"/>
            </xdr:cNvSpPr>
          </xdr:nvSpPr>
          <xdr:spPr bwMode="auto">
            <a:xfrm>
              <a:off x="1371" y="1627"/>
              <a:ext cx="5" cy="5"/>
            </a:xfrm>
            <a:custGeom>
              <a:avLst/>
              <a:gdLst>
                <a:gd name="T0" fmla="*/ 2 w 12"/>
                <a:gd name="T1" fmla="*/ 2 h 11"/>
                <a:gd name="T2" fmla="*/ 2 w 12"/>
                <a:gd name="T3" fmla="*/ 0 h 11"/>
                <a:gd name="T4" fmla="*/ 0 w 12"/>
                <a:gd name="T5" fmla="*/ 0 h 11"/>
                <a:gd name="T6" fmla="*/ 0 w 12"/>
                <a:gd name="T7" fmla="*/ 0 h 1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11">
                  <a:moveTo>
                    <a:pt x="12" y="11"/>
                  </a:moveTo>
                  <a:lnTo>
                    <a:pt x="9" y="3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" name="Freeform 500"/>
            <xdr:cNvSpPr>
              <a:spLocks noChangeAspect="1"/>
            </xdr:cNvSpPr>
          </xdr:nvSpPr>
          <xdr:spPr bwMode="auto">
            <a:xfrm>
              <a:off x="1802" y="1627"/>
              <a:ext cx="94" cy="0"/>
            </a:xfrm>
            <a:custGeom>
              <a:avLst/>
              <a:gdLst>
                <a:gd name="T0" fmla="*/ 0 w 268"/>
                <a:gd name="T1" fmla="*/ 33 w 268"/>
                <a:gd name="T2" fmla="*/ 33 w 26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68">
                  <a:moveTo>
                    <a:pt x="0" y="0"/>
                  </a:moveTo>
                  <a:lnTo>
                    <a:pt x="267" y="0"/>
                  </a:lnTo>
                  <a:lnTo>
                    <a:pt x="26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" name="Freeform 501"/>
            <xdr:cNvSpPr>
              <a:spLocks noChangeAspect="1"/>
            </xdr:cNvSpPr>
          </xdr:nvSpPr>
          <xdr:spPr bwMode="auto">
            <a:xfrm>
              <a:off x="1896" y="1592"/>
              <a:ext cx="32" cy="35"/>
            </a:xfrm>
            <a:custGeom>
              <a:avLst/>
              <a:gdLst>
                <a:gd name="T0" fmla="*/ 0 w 87"/>
                <a:gd name="T1" fmla="*/ 15 h 82"/>
                <a:gd name="T2" fmla="*/ 6 w 87"/>
                <a:gd name="T3" fmla="*/ 13 h 82"/>
                <a:gd name="T4" fmla="*/ 10 w 87"/>
                <a:gd name="T5" fmla="*/ 8 h 82"/>
                <a:gd name="T6" fmla="*/ 12 w 87"/>
                <a:gd name="T7" fmla="*/ 0 h 82"/>
                <a:gd name="T8" fmla="*/ 12 w 87"/>
                <a:gd name="T9" fmla="*/ 0 h 8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7" h="82">
                  <a:moveTo>
                    <a:pt x="0" y="82"/>
                  </a:moveTo>
                  <a:lnTo>
                    <a:pt x="43" y="71"/>
                  </a:lnTo>
                  <a:lnTo>
                    <a:pt x="74" y="41"/>
                  </a:lnTo>
                  <a:lnTo>
                    <a:pt x="86" y="0"/>
                  </a:lnTo>
                  <a:lnTo>
                    <a:pt x="87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" name="Freeform 502"/>
            <xdr:cNvSpPr>
              <a:spLocks noChangeAspect="1"/>
            </xdr:cNvSpPr>
          </xdr:nvSpPr>
          <xdr:spPr bwMode="auto">
            <a:xfrm>
              <a:off x="1317" y="1592"/>
              <a:ext cx="31" cy="35"/>
            </a:xfrm>
            <a:custGeom>
              <a:avLst/>
              <a:gdLst>
                <a:gd name="T0" fmla="*/ 0 w 87"/>
                <a:gd name="T1" fmla="*/ 0 h 82"/>
                <a:gd name="T2" fmla="*/ 2 w 87"/>
                <a:gd name="T3" fmla="*/ 8 h 82"/>
                <a:gd name="T4" fmla="*/ 6 w 87"/>
                <a:gd name="T5" fmla="*/ 13 h 82"/>
                <a:gd name="T6" fmla="*/ 11 w 87"/>
                <a:gd name="T7" fmla="*/ 15 h 82"/>
                <a:gd name="T8" fmla="*/ 11 w 87"/>
                <a:gd name="T9" fmla="*/ 15 h 8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7" h="82">
                  <a:moveTo>
                    <a:pt x="0" y="0"/>
                  </a:moveTo>
                  <a:lnTo>
                    <a:pt x="13" y="41"/>
                  </a:lnTo>
                  <a:lnTo>
                    <a:pt x="44" y="71"/>
                  </a:lnTo>
                  <a:lnTo>
                    <a:pt x="86" y="82"/>
                  </a:lnTo>
                  <a:lnTo>
                    <a:pt x="87" y="8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" name="Freeform 503"/>
            <xdr:cNvSpPr>
              <a:spLocks noChangeAspect="1"/>
            </xdr:cNvSpPr>
          </xdr:nvSpPr>
          <xdr:spPr bwMode="auto">
            <a:xfrm>
              <a:off x="1314" y="1512"/>
              <a:ext cx="3" cy="80"/>
            </a:xfrm>
            <a:custGeom>
              <a:avLst/>
              <a:gdLst>
                <a:gd name="T0" fmla="*/ 0 w 7"/>
                <a:gd name="T1" fmla="*/ 0 h 196"/>
                <a:gd name="T2" fmla="*/ 1 w 7"/>
                <a:gd name="T3" fmla="*/ 33 h 196"/>
                <a:gd name="T4" fmla="*/ 1 w 7"/>
                <a:gd name="T5" fmla="*/ 33 h 19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196">
                  <a:moveTo>
                    <a:pt x="0" y="0"/>
                  </a:moveTo>
                  <a:lnTo>
                    <a:pt x="6" y="196"/>
                  </a:lnTo>
                  <a:lnTo>
                    <a:pt x="7" y="19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2" name="Freeform 504"/>
            <xdr:cNvSpPr>
              <a:spLocks noChangeAspect="1"/>
            </xdr:cNvSpPr>
          </xdr:nvSpPr>
          <xdr:spPr bwMode="auto">
            <a:xfrm>
              <a:off x="1928" y="1512"/>
              <a:ext cx="3" cy="80"/>
            </a:xfrm>
            <a:custGeom>
              <a:avLst/>
              <a:gdLst>
                <a:gd name="T0" fmla="*/ 2 w 6"/>
                <a:gd name="T1" fmla="*/ 0 h 196"/>
                <a:gd name="T2" fmla="*/ 0 w 6"/>
                <a:gd name="T3" fmla="*/ 33 h 196"/>
                <a:gd name="T4" fmla="*/ 1 w 6"/>
                <a:gd name="T5" fmla="*/ 33 h 19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6" h="196">
                  <a:moveTo>
                    <a:pt x="6" y="0"/>
                  </a:moveTo>
                  <a:lnTo>
                    <a:pt x="0" y="196"/>
                  </a:lnTo>
                  <a:lnTo>
                    <a:pt x="1" y="19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" name="Freeform 505"/>
            <xdr:cNvSpPr>
              <a:spLocks noChangeAspect="1"/>
            </xdr:cNvSpPr>
          </xdr:nvSpPr>
          <xdr:spPr bwMode="auto">
            <a:xfrm>
              <a:off x="1797" y="1632"/>
              <a:ext cx="0" cy="6"/>
            </a:xfrm>
            <a:custGeom>
              <a:avLst/>
              <a:gdLst>
                <a:gd name="T0" fmla="*/ 0 w 1"/>
                <a:gd name="T1" fmla="*/ 0 h 16"/>
                <a:gd name="T2" fmla="*/ 0 w 1"/>
                <a:gd name="T3" fmla="*/ 2 h 16"/>
                <a:gd name="T4" fmla="*/ 1 w 1"/>
                <a:gd name="T5" fmla="*/ 2 h 1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6">
                  <a:moveTo>
                    <a:pt x="0" y="0"/>
                  </a:moveTo>
                  <a:lnTo>
                    <a:pt x="0" y="16"/>
                  </a:lnTo>
                  <a:lnTo>
                    <a:pt x="1" y="1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" name="Freeform 506"/>
            <xdr:cNvSpPr>
              <a:spLocks noChangeAspect="1"/>
            </xdr:cNvSpPr>
          </xdr:nvSpPr>
          <xdr:spPr bwMode="auto">
            <a:xfrm>
              <a:off x="1376" y="1632"/>
              <a:ext cx="0" cy="6"/>
            </a:xfrm>
            <a:custGeom>
              <a:avLst/>
              <a:gdLst>
                <a:gd name="T0" fmla="*/ 0 w 1"/>
                <a:gd name="T1" fmla="*/ 0 h 16"/>
                <a:gd name="T2" fmla="*/ 0 w 1"/>
                <a:gd name="T3" fmla="*/ 2 h 16"/>
                <a:gd name="T4" fmla="*/ 1 w 1"/>
                <a:gd name="T5" fmla="*/ 2 h 1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6">
                  <a:moveTo>
                    <a:pt x="0" y="0"/>
                  </a:moveTo>
                  <a:lnTo>
                    <a:pt x="0" y="16"/>
                  </a:lnTo>
                  <a:lnTo>
                    <a:pt x="1" y="1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" name="Freeform 507"/>
            <xdr:cNvSpPr>
              <a:spLocks noChangeAspect="1"/>
            </xdr:cNvSpPr>
          </xdr:nvSpPr>
          <xdr:spPr bwMode="auto">
            <a:xfrm>
              <a:off x="1348" y="1627"/>
              <a:ext cx="26" cy="0"/>
            </a:xfrm>
            <a:custGeom>
              <a:avLst/>
              <a:gdLst>
                <a:gd name="T0" fmla="*/ 0 w 70"/>
                <a:gd name="T1" fmla="*/ 10 w 70"/>
                <a:gd name="T2" fmla="*/ 10 w 7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0">
                  <a:moveTo>
                    <a:pt x="0" y="0"/>
                  </a:moveTo>
                  <a:lnTo>
                    <a:pt x="69" y="0"/>
                  </a:lnTo>
                  <a:lnTo>
                    <a:pt x="7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" name="Freeform 508"/>
            <xdr:cNvSpPr>
              <a:spLocks noChangeAspect="1"/>
            </xdr:cNvSpPr>
          </xdr:nvSpPr>
          <xdr:spPr bwMode="auto">
            <a:xfrm>
              <a:off x="1357" y="1478"/>
              <a:ext cx="35" cy="0"/>
            </a:xfrm>
            <a:custGeom>
              <a:avLst/>
              <a:gdLst>
                <a:gd name="T0" fmla="*/ 0 w 98"/>
                <a:gd name="T1" fmla="*/ 13 w 98"/>
                <a:gd name="T2" fmla="*/ 13 w 9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">
                  <a:moveTo>
                    <a:pt x="0" y="0"/>
                  </a:moveTo>
                  <a:lnTo>
                    <a:pt x="97" y="0"/>
                  </a:lnTo>
                  <a:lnTo>
                    <a:pt x="9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" name="Freeform 509"/>
            <xdr:cNvSpPr>
              <a:spLocks noChangeAspect="1"/>
            </xdr:cNvSpPr>
          </xdr:nvSpPr>
          <xdr:spPr bwMode="auto">
            <a:xfrm>
              <a:off x="1357" y="1460"/>
              <a:ext cx="0" cy="18"/>
            </a:xfrm>
            <a:custGeom>
              <a:avLst/>
              <a:gdLst>
                <a:gd name="T0" fmla="*/ 0 w 1"/>
                <a:gd name="T1" fmla="*/ 0 h 45"/>
                <a:gd name="T2" fmla="*/ 0 w 1"/>
                <a:gd name="T3" fmla="*/ 7 h 45"/>
                <a:gd name="T4" fmla="*/ 1 w 1"/>
                <a:gd name="T5" fmla="*/ 7 h 4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45">
                  <a:moveTo>
                    <a:pt x="0" y="0"/>
                  </a:moveTo>
                  <a:lnTo>
                    <a:pt x="0" y="45"/>
                  </a:lnTo>
                  <a:lnTo>
                    <a:pt x="1" y="45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8" name="Freeform 510"/>
            <xdr:cNvSpPr>
              <a:spLocks noChangeAspect="1"/>
            </xdr:cNvSpPr>
          </xdr:nvSpPr>
          <xdr:spPr bwMode="auto">
            <a:xfrm>
              <a:off x="1365" y="1478"/>
              <a:ext cx="27" cy="0"/>
            </a:xfrm>
            <a:custGeom>
              <a:avLst/>
              <a:gdLst>
                <a:gd name="T0" fmla="*/ 0 w 75"/>
                <a:gd name="T1" fmla="*/ 10 w 75"/>
                <a:gd name="T2" fmla="*/ 10 w 7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5">
                  <a:moveTo>
                    <a:pt x="0" y="0"/>
                  </a:moveTo>
                  <a:lnTo>
                    <a:pt x="74" y="0"/>
                  </a:lnTo>
                  <a:lnTo>
                    <a:pt x="7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9" name="Freeform 511"/>
            <xdr:cNvSpPr>
              <a:spLocks noChangeAspect="1"/>
            </xdr:cNvSpPr>
          </xdr:nvSpPr>
          <xdr:spPr bwMode="auto">
            <a:xfrm>
              <a:off x="1785" y="1478"/>
              <a:ext cx="34" cy="0"/>
            </a:xfrm>
            <a:custGeom>
              <a:avLst/>
              <a:gdLst>
                <a:gd name="T0" fmla="*/ 12 w 98"/>
                <a:gd name="T1" fmla="*/ 0 w 98"/>
                <a:gd name="T2" fmla="*/ 0 w 9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">
                  <a:moveTo>
                    <a:pt x="98" y="0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" name="Freeform 512"/>
            <xdr:cNvSpPr>
              <a:spLocks noChangeAspect="1"/>
            </xdr:cNvSpPr>
          </xdr:nvSpPr>
          <xdr:spPr bwMode="auto">
            <a:xfrm>
              <a:off x="1783" y="1478"/>
              <a:ext cx="25" cy="0"/>
            </a:xfrm>
            <a:custGeom>
              <a:avLst/>
              <a:gdLst>
                <a:gd name="T0" fmla="*/ 8 w 75"/>
                <a:gd name="T1" fmla="*/ 0 w 75"/>
                <a:gd name="T2" fmla="*/ 0 w 7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5">
                  <a:moveTo>
                    <a:pt x="75" y="0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" name="Freeform 513"/>
            <xdr:cNvSpPr>
              <a:spLocks noChangeAspect="1"/>
            </xdr:cNvSpPr>
          </xdr:nvSpPr>
          <xdr:spPr bwMode="auto">
            <a:xfrm>
              <a:off x="1394" y="1495"/>
              <a:ext cx="391" cy="0"/>
            </a:xfrm>
            <a:custGeom>
              <a:avLst/>
              <a:gdLst>
                <a:gd name="T0" fmla="*/ 0 w 1095"/>
                <a:gd name="T1" fmla="*/ 140 w 1095"/>
                <a:gd name="T2" fmla="*/ 140 w 109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095">
                  <a:moveTo>
                    <a:pt x="0" y="0"/>
                  </a:moveTo>
                  <a:lnTo>
                    <a:pt x="1094" y="0"/>
                  </a:lnTo>
                  <a:lnTo>
                    <a:pt x="109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" name="Freeform 514"/>
            <xdr:cNvSpPr>
              <a:spLocks noChangeAspect="1"/>
            </xdr:cNvSpPr>
          </xdr:nvSpPr>
          <xdr:spPr bwMode="auto">
            <a:xfrm>
              <a:off x="1392" y="1487"/>
              <a:ext cx="2" cy="8"/>
            </a:xfrm>
            <a:custGeom>
              <a:avLst/>
              <a:gdLst>
                <a:gd name="T0" fmla="*/ 1 w 5"/>
                <a:gd name="T1" fmla="*/ 4 h 17"/>
                <a:gd name="T2" fmla="*/ 0 w 5"/>
                <a:gd name="T3" fmla="*/ 0 h 17"/>
                <a:gd name="T4" fmla="*/ 0 w 5"/>
                <a:gd name="T5" fmla="*/ 0 h 1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" h="17">
                  <a:moveTo>
                    <a:pt x="5" y="17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3" name="Freeform 515"/>
            <xdr:cNvSpPr>
              <a:spLocks noChangeAspect="1"/>
            </xdr:cNvSpPr>
          </xdr:nvSpPr>
          <xdr:spPr bwMode="auto">
            <a:xfrm>
              <a:off x="1392" y="1478"/>
              <a:ext cx="2" cy="17"/>
            </a:xfrm>
            <a:custGeom>
              <a:avLst/>
              <a:gdLst>
                <a:gd name="T0" fmla="*/ 0 w 5"/>
                <a:gd name="T1" fmla="*/ 0 h 44"/>
                <a:gd name="T2" fmla="*/ 0 w 5"/>
                <a:gd name="T3" fmla="*/ 7 h 44"/>
                <a:gd name="T4" fmla="*/ 1 w 5"/>
                <a:gd name="T5" fmla="*/ 7 h 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" h="44">
                  <a:moveTo>
                    <a:pt x="0" y="0"/>
                  </a:moveTo>
                  <a:lnTo>
                    <a:pt x="3" y="44"/>
                  </a:lnTo>
                  <a:lnTo>
                    <a:pt x="5" y="4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4" name="Freeform 516"/>
            <xdr:cNvSpPr>
              <a:spLocks noChangeAspect="1"/>
            </xdr:cNvSpPr>
          </xdr:nvSpPr>
          <xdr:spPr bwMode="auto">
            <a:xfrm>
              <a:off x="1783" y="1478"/>
              <a:ext cx="2" cy="17"/>
            </a:xfrm>
            <a:custGeom>
              <a:avLst/>
              <a:gdLst>
                <a:gd name="T0" fmla="*/ 2 w 2"/>
                <a:gd name="T1" fmla="*/ 0 h 44"/>
                <a:gd name="T2" fmla="*/ 0 w 2"/>
                <a:gd name="T3" fmla="*/ 7 h 44"/>
                <a:gd name="T4" fmla="*/ 1 w 2"/>
                <a:gd name="T5" fmla="*/ 7 h 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44">
                  <a:moveTo>
                    <a:pt x="2" y="0"/>
                  </a:moveTo>
                  <a:lnTo>
                    <a:pt x="0" y="44"/>
                  </a:lnTo>
                  <a:lnTo>
                    <a:pt x="1" y="4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" name="Freeform 517"/>
            <xdr:cNvSpPr>
              <a:spLocks noChangeAspect="1"/>
            </xdr:cNvSpPr>
          </xdr:nvSpPr>
          <xdr:spPr bwMode="auto">
            <a:xfrm rot="-4882971">
              <a:off x="1563" y="1307"/>
              <a:ext cx="64" cy="369"/>
            </a:xfrm>
            <a:custGeom>
              <a:avLst/>
              <a:gdLst>
                <a:gd name="T0" fmla="*/ 1 w 178"/>
                <a:gd name="T1" fmla="*/ 0 h 899"/>
                <a:gd name="T2" fmla="*/ 0 w 178"/>
                <a:gd name="T3" fmla="*/ 0 h 899"/>
                <a:gd name="T4" fmla="*/ 23 w 178"/>
                <a:gd name="T5" fmla="*/ 151 h 899"/>
                <a:gd name="T6" fmla="*/ 1 w 178"/>
                <a:gd name="T7" fmla="*/ 0 h 89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8" h="899">
                  <a:moveTo>
                    <a:pt x="7" y="0"/>
                  </a:moveTo>
                  <a:lnTo>
                    <a:pt x="0" y="2"/>
                  </a:lnTo>
                  <a:lnTo>
                    <a:pt x="178" y="899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18"/>
            <xdr:cNvSpPr>
              <a:spLocks noChangeAspect="1"/>
            </xdr:cNvSpPr>
          </xdr:nvSpPr>
          <xdr:spPr bwMode="auto">
            <a:xfrm rot="-4882971">
              <a:off x="1564" y="1310"/>
              <a:ext cx="63" cy="366"/>
            </a:xfrm>
            <a:custGeom>
              <a:avLst/>
              <a:gdLst>
                <a:gd name="T0" fmla="*/ 0 w 178"/>
                <a:gd name="T1" fmla="*/ 0 h 898"/>
                <a:gd name="T2" fmla="*/ 22 w 178"/>
                <a:gd name="T3" fmla="*/ 149 h 898"/>
                <a:gd name="T4" fmla="*/ 22 w 178"/>
                <a:gd name="T5" fmla="*/ 149 h 898"/>
                <a:gd name="T6" fmla="*/ 0 w 178"/>
                <a:gd name="T7" fmla="*/ 0 h 89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8" h="898">
                  <a:moveTo>
                    <a:pt x="0" y="0"/>
                  </a:moveTo>
                  <a:lnTo>
                    <a:pt x="178" y="897"/>
                  </a:lnTo>
                  <a:lnTo>
                    <a:pt x="171" y="89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19"/>
            <xdr:cNvSpPr>
              <a:spLocks noChangeAspect="1"/>
            </xdr:cNvSpPr>
          </xdr:nvSpPr>
          <xdr:spPr bwMode="auto">
            <a:xfrm rot="-4882971">
              <a:off x="1551" y="1298"/>
              <a:ext cx="65" cy="388"/>
            </a:xfrm>
            <a:custGeom>
              <a:avLst/>
              <a:gdLst>
                <a:gd name="T0" fmla="*/ 1 w 178"/>
                <a:gd name="T1" fmla="*/ 0 h 900"/>
                <a:gd name="T2" fmla="*/ 0 w 178"/>
                <a:gd name="T3" fmla="*/ 0 h 900"/>
                <a:gd name="T4" fmla="*/ 23 w 178"/>
                <a:gd name="T5" fmla="*/ 167 h 900"/>
                <a:gd name="T6" fmla="*/ 24 w 178"/>
                <a:gd name="T7" fmla="*/ 167 h 900"/>
                <a:gd name="T8" fmla="*/ 1 w 178"/>
                <a:gd name="T9" fmla="*/ 0 h 90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78" h="900">
                  <a:moveTo>
                    <a:pt x="7" y="0"/>
                  </a:moveTo>
                  <a:lnTo>
                    <a:pt x="0" y="2"/>
                  </a:lnTo>
                  <a:lnTo>
                    <a:pt x="171" y="900"/>
                  </a:lnTo>
                  <a:lnTo>
                    <a:pt x="178" y="899"/>
                  </a:lnTo>
                  <a:lnTo>
                    <a:pt x="7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8" name="Freeform 520"/>
            <xdr:cNvSpPr>
              <a:spLocks noChangeAspect="1"/>
            </xdr:cNvSpPr>
          </xdr:nvSpPr>
          <xdr:spPr bwMode="auto">
            <a:xfrm rot="-4882971">
              <a:off x="1528" y="1265"/>
              <a:ext cx="65" cy="363"/>
            </a:xfrm>
            <a:custGeom>
              <a:avLst/>
              <a:gdLst>
                <a:gd name="T0" fmla="*/ 23 w 186"/>
                <a:gd name="T1" fmla="*/ 149 h 887"/>
                <a:gd name="T2" fmla="*/ 14 w 186"/>
                <a:gd name="T3" fmla="*/ 74 h 887"/>
                <a:gd name="T4" fmla="*/ 0 w 186"/>
                <a:gd name="T5" fmla="*/ 0 h 887"/>
                <a:gd name="T6" fmla="*/ 0 w 186"/>
                <a:gd name="T7" fmla="*/ 0 h 88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86" h="887">
                  <a:moveTo>
                    <a:pt x="186" y="887"/>
                  </a:moveTo>
                  <a:lnTo>
                    <a:pt x="116" y="439"/>
                  </a:lnTo>
                  <a:lnTo>
                    <a:pt x="0" y="0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9" name="Freeform 521"/>
            <xdr:cNvSpPr>
              <a:spLocks noChangeAspect="1"/>
            </xdr:cNvSpPr>
          </xdr:nvSpPr>
          <xdr:spPr bwMode="auto">
            <a:xfrm rot="-4882971">
              <a:off x="1770" y="1489"/>
              <a:ext cx="21" cy="6"/>
            </a:xfrm>
            <a:custGeom>
              <a:avLst/>
              <a:gdLst>
                <a:gd name="T0" fmla="*/ 0 w 54"/>
                <a:gd name="T1" fmla="*/ 4 h 10"/>
                <a:gd name="T2" fmla="*/ 8 w 54"/>
                <a:gd name="T3" fmla="*/ 0 h 10"/>
                <a:gd name="T4" fmla="*/ 8 w 54"/>
                <a:gd name="T5" fmla="*/ 0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10">
                  <a:moveTo>
                    <a:pt x="0" y="10"/>
                  </a:moveTo>
                  <a:lnTo>
                    <a:pt x="53" y="0"/>
                  </a:lnTo>
                  <a:lnTo>
                    <a:pt x="5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" name="Freeform 522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3 w 23"/>
                <a:gd name="T3" fmla="*/ 0 h 7"/>
                <a:gd name="T4" fmla="*/ 0 w 23"/>
                <a:gd name="T5" fmla="*/ 1 h 7"/>
                <a:gd name="T6" fmla="*/ 3 w 23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7">
                  <a:moveTo>
                    <a:pt x="23" y="3"/>
                  </a:moveTo>
                  <a:lnTo>
                    <a:pt x="23" y="0"/>
                  </a:lnTo>
                  <a:lnTo>
                    <a:pt x="0" y="7"/>
                  </a:lnTo>
                  <a:lnTo>
                    <a:pt x="23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23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4"/>
                <a:gd name="T1" fmla="*/ 0 h 7"/>
                <a:gd name="T2" fmla="*/ 0 w 24"/>
                <a:gd name="T3" fmla="*/ 1 h 7"/>
                <a:gd name="T4" fmla="*/ 0 w 24"/>
                <a:gd name="T5" fmla="*/ 1 h 7"/>
                <a:gd name="T6" fmla="*/ 3 w 24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7">
                  <a:moveTo>
                    <a:pt x="24" y="0"/>
                  </a:moveTo>
                  <a:lnTo>
                    <a:pt x="1" y="7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" name="Freeform 524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4"/>
                <a:gd name="T1" fmla="*/ 0 h 7"/>
                <a:gd name="T2" fmla="*/ 3 w 24"/>
                <a:gd name="T3" fmla="*/ 0 h 7"/>
                <a:gd name="T4" fmla="*/ 0 w 24"/>
                <a:gd name="T5" fmla="*/ 1 h 7"/>
                <a:gd name="T6" fmla="*/ 0 w 24"/>
                <a:gd name="T7" fmla="*/ 1 h 7"/>
                <a:gd name="T8" fmla="*/ 3 w 24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7">
                  <a:moveTo>
                    <a:pt x="24" y="3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7"/>
                  </a:lnTo>
                  <a:lnTo>
                    <a:pt x="24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" name="Freeform 525"/>
            <xdr:cNvSpPr>
              <a:spLocks noChangeAspect="1"/>
            </xdr:cNvSpPr>
          </xdr:nvSpPr>
          <xdr:spPr bwMode="auto">
            <a:xfrm rot="-4882971">
              <a:off x="1589" y="1475"/>
              <a:ext cx="14" cy="78"/>
            </a:xfrm>
            <a:custGeom>
              <a:avLst/>
              <a:gdLst>
                <a:gd name="T0" fmla="*/ 0 w 37"/>
                <a:gd name="T1" fmla="*/ 0 h 193"/>
                <a:gd name="T2" fmla="*/ 5 w 37"/>
                <a:gd name="T3" fmla="*/ 32 h 193"/>
                <a:gd name="T4" fmla="*/ 5 w 37"/>
                <a:gd name="T5" fmla="*/ 32 h 193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7" h="193">
                  <a:moveTo>
                    <a:pt x="0" y="0"/>
                  </a:moveTo>
                  <a:lnTo>
                    <a:pt x="36" y="193"/>
                  </a:lnTo>
                  <a:lnTo>
                    <a:pt x="37" y="19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" name="Freeform 526"/>
            <xdr:cNvSpPr>
              <a:spLocks noChangeAspect="1"/>
            </xdr:cNvSpPr>
          </xdr:nvSpPr>
          <xdr:spPr bwMode="auto">
            <a:xfrm rot="-4882971">
              <a:off x="1590" y="1489"/>
              <a:ext cx="13" cy="78"/>
            </a:xfrm>
            <a:custGeom>
              <a:avLst/>
              <a:gdLst>
                <a:gd name="T0" fmla="*/ 0 w 38"/>
                <a:gd name="T1" fmla="*/ 0 h 192"/>
                <a:gd name="T2" fmla="*/ 4 w 38"/>
                <a:gd name="T3" fmla="*/ 32 h 192"/>
                <a:gd name="T4" fmla="*/ 4 w 38"/>
                <a:gd name="T5" fmla="*/ 32 h 19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8" h="192">
                  <a:moveTo>
                    <a:pt x="0" y="0"/>
                  </a:moveTo>
                  <a:lnTo>
                    <a:pt x="37" y="192"/>
                  </a:lnTo>
                  <a:lnTo>
                    <a:pt x="38" y="19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" name="Freeform 527"/>
            <xdr:cNvSpPr>
              <a:spLocks noChangeAspect="1"/>
            </xdr:cNvSpPr>
          </xdr:nvSpPr>
          <xdr:spPr bwMode="auto">
            <a:xfrm rot="-4882971">
              <a:off x="1558" y="1315"/>
              <a:ext cx="61" cy="380"/>
            </a:xfrm>
            <a:custGeom>
              <a:avLst/>
              <a:gdLst>
                <a:gd name="T0" fmla="*/ 0 w 172"/>
                <a:gd name="T1" fmla="*/ 0 h 899"/>
                <a:gd name="T2" fmla="*/ 22 w 172"/>
                <a:gd name="T3" fmla="*/ 161 h 899"/>
                <a:gd name="T4" fmla="*/ 22 w 172"/>
                <a:gd name="T5" fmla="*/ 161 h 89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72" h="899">
                  <a:moveTo>
                    <a:pt x="0" y="0"/>
                  </a:moveTo>
                  <a:lnTo>
                    <a:pt x="171" y="899"/>
                  </a:lnTo>
                  <a:lnTo>
                    <a:pt x="172" y="899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" name="Freeform 528"/>
            <xdr:cNvSpPr>
              <a:spLocks noChangeAspect="1"/>
            </xdr:cNvSpPr>
          </xdr:nvSpPr>
          <xdr:spPr bwMode="auto">
            <a:xfrm rot="-4882971">
              <a:off x="1631" y="1521"/>
              <a:ext cx="5" cy="3"/>
            </a:xfrm>
            <a:custGeom>
              <a:avLst/>
              <a:gdLst>
                <a:gd name="T0" fmla="*/ 1 w 23"/>
                <a:gd name="T1" fmla="*/ 1 h 8"/>
                <a:gd name="T2" fmla="*/ 1 w 23"/>
                <a:gd name="T3" fmla="*/ 0 h 8"/>
                <a:gd name="T4" fmla="*/ 0 w 23"/>
                <a:gd name="T5" fmla="*/ 1 h 8"/>
                <a:gd name="T6" fmla="*/ 1 w 23"/>
                <a:gd name="T7" fmla="*/ 1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8">
                  <a:moveTo>
                    <a:pt x="23" y="4"/>
                  </a:moveTo>
                  <a:lnTo>
                    <a:pt x="23" y="0"/>
                  </a:lnTo>
                  <a:lnTo>
                    <a:pt x="0" y="8"/>
                  </a:lnTo>
                  <a:lnTo>
                    <a:pt x="23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7" name="Freeform 529"/>
            <xdr:cNvSpPr>
              <a:spLocks noChangeAspect="1"/>
            </xdr:cNvSpPr>
          </xdr:nvSpPr>
          <xdr:spPr bwMode="auto">
            <a:xfrm rot="-4882971">
              <a:off x="1630" y="1521"/>
              <a:ext cx="8" cy="3"/>
            </a:xfrm>
            <a:custGeom>
              <a:avLst/>
              <a:gdLst>
                <a:gd name="T0" fmla="*/ 3 w 24"/>
                <a:gd name="T1" fmla="*/ 0 h 8"/>
                <a:gd name="T2" fmla="*/ 0 w 24"/>
                <a:gd name="T3" fmla="*/ 1 h 8"/>
                <a:gd name="T4" fmla="*/ 0 w 24"/>
                <a:gd name="T5" fmla="*/ 1 h 8"/>
                <a:gd name="T6" fmla="*/ 3 w 24"/>
                <a:gd name="T7" fmla="*/ 0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0"/>
                  </a:moveTo>
                  <a:lnTo>
                    <a:pt x="1" y="8"/>
                  </a:lnTo>
                  <a:lnTo>
                    <a:pt x="0" y="5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8" name="Freeform 530"/>
            <xdr:cNvSpPr>
              <a:spLocks noChangeAspect="1"/>
            </xdr:cNvSpPr>
          </xdr:nvSpPr>
          <xdr:spPr bwMode="auto">
            <a:xfrm rot="-4882971">
              <a:off x="1630" y="1521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0 w 24"/>
                <a:gd name="T7" fmla="*/ 1 h 8"/>
                <a:gd name="T8" fmla="*/ 3 w 24"/>
                <a:gd name="T9" fmla="*/ 1 h 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5"/>
                  </a:lnTo>
                  <a:lnTo>
                    <a:pt x="1" y="8"/>
                  </a:lnTo>
                  <a:lnTo>
                    <a:pt x="24" y="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531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2"/>
                <a:gd name="T1" fmla="*/ 0 h 7"/>
                <a:gd name="T2" fmla="*/ 3 w 22"/>
                <a:gd name="T3" fmla="*/ 0 h 7"/>
                <a:gd name="T4" fmla="*/ 0 w 22"/>
                <a:gd name="T5" fmla="*/ 1 h 7"/>
                <a:gd name="T6" fmla="*/ 3 w 2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7">
                  <a:moveTo>
                    <a:pt x="22" y="3"/>
                  </a:moveTo>
                  <a:lnTo>
                    <a:pt x="22" y="0"/>
                  </a:lnTo>
                  <a:lnTo>
                    <a:pt x="0" y="7"/>
                  </a:lnTo>
                  <a:lnTo>
                    <a:pt x="2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0" name="Freeform 532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0 w 23"/>
                <a:gd name="T3" fmla="*/ 1 h 7"/>
                <a:gd name="T4" fmla="*/ 0 w 23"/>
                <a:gd name="T5" fmla="*/ 1 h 7"/>
                <a:gd name="T6" fmla="*/ 3 w 23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7">
                  <a:moveTo>
                    <a:pt x="23" y="0"/>
                  </a:moveTo>
                  <a:lnTo>
                    <a:pt x="1" y="7"/>
                  </a:lnTo>
                  <a:lnTo>
                    <a:pt x="0" y="4"/>
                  </a:lnTo>
                  <a:lnTo>
                    <a:pt x="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" name="Freeform 533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3 w 23"/>
                <a:gd name="T3" fmla="*/ 0 h 7"/>
                <a:gd name="T4" fmla="*/ 0 w 23"/>
                <a:gd name="T5" fmla="*/ 1 h 7"/>
                <a:gd name="T6" fmla="*/ 0 w 23"/>
                <a:gd name="T7" fmla="*/ 1 h 7"/>
                <a:gd name="T8" fmla="*/ 3 w 23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3" h="7">
                  <a:moveTo>
                    <a:pt x="23" y="3"/>
                  </a:moveTo>
                  <a:lnTo>
                    <a:pt x="23" y="0"/>
                  </a:lnTo>
                  <a:lnTo>
                    <a:pt x="0" y="4"/>
                  </a:lnTo>
                  <a:lnTo>
                    <a:pt x="1" y="7"/>
                  </a:lnTo>
                  <a:lnTo>
                    <a:pt x="23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" name="Freeform 534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2"/>
                <a:gd name="T1" fmla="*/ 1 h 6"/>
                <a:gd name="T2" fmla="*/ 3 w 22"/>
                <a:gd name="T3" fmla="*/ 0 h 6"/>
                <a:gd name="T4" fmla="*/ 0 w 22"/>
                <a:gd name="T5" fmla="*/ 2 h 6"/>
                <a:gd name="T6" fmla="*/ 3 w 22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6">
                  <a:moveTo>
                    <a:pt x="22" y="2"/>
                  </a:moveTo>
                  <a:lnTo>
                    <a:pt x="22" y="0"/>
                  </a:lnTo>
                  <a:lnTo>
                    <a:pt x="0" y="6"/>
                  </a:lnTo>
                  <a:lnTo>
                    <a:pt x="2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3" name="Freeform 535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2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" name="Freeform 536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2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" name="Freeform 537"/>
            <xdr:cNvSpPr>
              <a:spLocks noChangeAspect="1"/>
            </xdr:cNvSpPr>
          </xdr:nvSpPr>
          <xdr:spPr bwMode="auto">
            <a:xfrm rot="-4882971">
              <a:off x="1630" y="1518"/>
              <a:ext cx="14" cy="3"/>
            </a:xfrm>
            <a:custGeom>
              <a:avLst/>
              <a:gdLst>
                <a:gd name="T0" fmla="*/ 6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6" name="Freeform 538"/>
            <xdr:cNvSpPr>
              <a:spLocks noChangeAspect="1"/>
            </xdr:cNvSpPr>
          </xdr:nvSpPr>
          <xdr:spPr bwMode="auto">
            <a:xfrm rot="-4882971">
              <a:off x="1618" y="1507"/>
              <a:ext cx="12" cy="3"/>
            </a:xfrm>
            <a:custGeom>
              <a:avLst/>
              <a:gdLst>
                <a:gd name="T0" fmla="*/ 4 w 33"/>
                <a:gd name="T1" fmla="*/ 0 h 7"/>
                <a:gd name="T2" fmla="*/ 0 w 33"/>
                <a:gd name="T3" fmla="*/ 1 h 7"/>
                <a:gd name="T4" fmla="*/ 0 w 33"/>
                <a:gd name="T5" fmla="*/ 1 h 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3" h="7">
                  <a:moveTo>
                    <a:pt x="33" y="0"/>
                  </a:moveTo>
                  <a:lnTo>
                    <a:pt x="0" y="7"/>
                  </a:lnTo>
                  <a:lnTo>
                    <a:pt x="1" y="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" name="Freeform 539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4 w 23"/>
                <a:gd name="T1" fmla="*/ 1 h 6"/>
                <a:gd name="T2" fmla="*/ 4 w 23"/>
                <a:gd name="T3" fmla="*/ 0 h 6"/>
                <a:gd name="T4" fmla="*/ 0 w 23"/>
                <a:gd name="T5" fmla="*/ 2 h 6"/>
                <a:gd name="T6" fmla="*/ 4 w 23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6"/>
                  </a:lnTo>
                  <a:lnTo>
                    <a:pt x="2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" name="Freeform 540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9" name="Freeform 541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" name="Freeform 542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2"/>
                <a:gd name="T1" fmla="*/ 1 h 6"/>
                <a:gd name="T2" fmla="*/ 3 w 22"/>
                <a:gd name="T3" fmla="*/ 0 h 6"/>
                <a:gd name="T4" fmla="*/ 0 w 22"/>
                <a:gd name="T5" fmla="*/ 2 h 6"/>
                <a:gd name="T6" fmla="*/ 3 w 22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6">
                  <a:moveTo>
                    <a:pt x="22" y="2"/>
                  </a:moveTo>
                  <a:lnTo>
                    <a:pt x="22" y="0"/>
                  </a:lnTo>
                  <a:lnTo>
                    <a:pt x="0" y="6"/>
                  </a:lnTo>
                  <a:lnTo>
                    <a:pt x="2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1" name="Freeform 543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3"/>
                <a:gd name="T1" fmla="*/ 0 h 6"/>
                <a:gd name="T2" fmla="*/ 0 w 23"/>
                <a:gd name="T3" fmla="*/ 2 h 6"/>
                <a:gd name="T4" fmla="*/ 0 w 23"/>
                <a:gd name="T5" fmla="*/ 1 h 6"/>
                <a:gd name="T6" fmla="*/ 3 w 23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" name="Freeform 544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3"/>
                <a:gd name="T1" fmla="*/ 1 h 6"/>
                <a:gd name="T2" fmla="*/ 3 w 23"/>
                <a:gd name="T3" fmla="*/ 0 h 6"/>
                <a:gd name="T4" fmla="*/ 0 w 23"/>
                <a:gd name="T5" fmla="*/ 1 h 6"/>
                <a:gd name="T6" fmla="*/ 0 w 23"/>
                <a:gd name="T7" fmla="*/ 2 h 6"/>
                <a:gd name="T8" fmla="*/ 3 w 23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3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3" name="Freeform 545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3 w 24"/>
                <a:gd name="T7" fmla="*/ 1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8"/>
                  </a:lnTo>
                  <a:lnTo>
                    <a:pt x="24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" name="Freeform 546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0 h 8"/>
                <a:gd name="T2" fmla="*/ 0 w 24"/>
                <a:gd name="T3" fmla="*/ 1 h 8"/>
                <a:gd name="T4" fmla="*/ 0 w 24"/>
                <a:gd name="T5" fmla="*/ 1 h 8"/>
                <a:gd name="T6" fmla="*/ 3 w 24"/>
                <a:gd name="T7" fmla="*/ 0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0"/>
                  </a:moveTo>
                  <a:lnTo>
                    <a:pt x="0" y="8"/>
                  </a:lnTo>
                  <a:lnTo>
                    <a:pt x="0" y="5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5" name="Freeform 547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0 w 24"/>
                <a:gd name="T7" fmla="*/ 1 h 8"/>
                <a:gd name="T8" fmla="*/ 3 w 24"/>
                <a:gd name="T9" fmla="*/ 1 h 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5"/>
                  </a:lnTo>
                  <a:lnTo>
                    <a:pt x="0" y="8"/>
                  </a:lnTo>
                  <a:lnTo>
                    <a:pt x="24" y="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" name="Freeform 548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4 w 23"/>
                <a:gd name="T1" fmla="*/ 1 h 6"/>
                <a:gd name="T2" fmla="*/ 4 w 23"/>
                <a:gd name="T3" fmla="*/ 0 h 6"/>
                <a:gd name="T4" fmla="*/ 0 w 23"/>
                <a:gd name="T5" fmla="*/ 2 h 6"/>
                <a:gd name="T6" fmla="*/ 4 w 23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6"/>
                  </a:lnTo>
                  <a:lnTo>
                    <a:pt x="2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" name="Freeform 549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8" name="Freeform 550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9" name="Freeform 551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4 w 22"/>
                <a:gd name="T1" fmla="*/ 0 h 7"/>
                <a:gd name="T2" fmla="*/ 4 w 22"/>
                <a:gd name="T3" fmla="*/ 0 h 7"/>
                <a:gd name="T4" fmla="*/ 0 w 22"/>
                <a:gd name="T5" fmla="*/ 1 h 7"/>
                <a:gd name="T6" fmla="*/ 4 w 2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7">
                  <a:moveTo>
                    <a:pt x="22" y="3"/>
                  </a:moveTo>
                  <a:lnTo>
                    <a:pt x="22" y="0"/>
                  </a:lnTo>
                  <a:lnTo>
                    <a:pt x="0" y="7"/>
                  </a:lnTo>
                  <a:lnTo>
                    <a:pt x="2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" name="Freeform 552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3 w 24"/>
                <a:gd name="T1" fmla="*/ 0 h 7"/>
                <a:gd name="T2" fmla="*/ 0 w 24"/>
                <a:gd name="T3" fmla="*/ 1 h 7"/>
                <a:gd name="T4" fmla="*/ 0 w 24"/>
                <a:gd name="T5" fmla="*/ 1 h 7"/>
                <a:gd name="T6" fmla="*/ 3 w 24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7">
                  <a:moveTo>
                    <a:pt x="24" y="0"/>
                  </a:moveTo>
                  <a:lnTo>
                    <a:pt x="2" y="7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" name="Freeform 553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3 w 24"/>
                <a:gd name="T1" fmla="*/ 0 h 7"/>
                <a:gd name="T2" fmla="*/ 3 w 24"/>
                <a:gd name="T3" fmla="*/ 0 h 7"/>
                <a:gd name="T4" fmla="*/ 0 w 24"/>
                <a:gd name="T5" fmla="*/ 1 h 7"/>
                <a:gd name="T6" fmla="*/ 0 w 24"/>
                <a:gd name="T7" fmla="*/ 1 h 7"/>
                <a:gd name="T8" fmla="*/ 3 w 24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7">
                  <a:moveTo>
                    <a:pt x="24" y="3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2" y="7"/>
                  </a:lnTo>
                  <a:lnTo>
                    <a:pt x="24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" name="Freeform 554"/>
            <xdr:cNvSpPr>
              <a:spLocks noChangeAspect="1"/>
            </xdr:cNvSpPr>
          </xdr:nvSpPr>
          <xdr:spPr bwMode="auto">
            <a:xfrm rot="-4882971">
              <a:off x="1553" y="1520"/>
              <a:ext cx="12" cy="3"/>
            </a:xfrm>
            <a:custGeom>
              <a:avLst/>
              <a:gdLst>
                <a:gd name="T0" fmla="*/ 4 w 36"/>
                <a:gd name="T1" fmla="*/ 0 h 7"/>
                <a:gd name="T2" fmla="*/ 0 w 36"/>
                <a:gd name="T3" fmla="*/ 1 h 7"/>
                <a:gd name="T4" fmla="*/ 0 w 36"/>
                <a:gd name="T5" fmla="*/ 1 h 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6" h="7">
                  <a:moveTo>
                    <a:pt x="36" y="0"/>
                  </a:moveTo>
                  <a:lnTo>
                    <a:pt x="0" y="7"/>
                  </a:lnTo>
                  <a:lnTo>
                    <a:pt x="1" y="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3" name="Freeform 555"/>
            <xdr:cNvSpPr>
              <a:spLocks noChangeAspect="1"/>
            </xdr:cNvSpPr>
          </xdr:nvSpPr>
          <xdr:spPr bwMode="auto">
            <a:xfrm rot="-4882971">
              <a:off x="1563" y="1507"/>
              <a:ext cx="12" cy="3"/>
            </a:xfrm>
            <a:custGeom>
              <a:avLst/>
              <a:gdLst>
                <a:gd name="T0" fmla="*/ 4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4" name="Freeform 556"/>
            <xdr:cNvSpPr>
              <a:spLocks noChangeAspect="1"/>
            </xdr:cNvSpPr>
          </xdr:nvSpPr>
          <xdr:spPr bwMode="auto">
            <a:xfrm rot="-4882971">
              <a:off x="1563" y="1507"/>
              <a:ext cx="12" cy="3"/>
            </a:xfrm>
            <a:custGeom>
              <a:avLst/>
              <a:gdLst>
                <a:gd name="T0" fmla="*/ 4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5" name="Freeform 557"/>
            <xdr:cNvSpPr>
              <a:spLocks noChangeAspect="1"/>
            </xdr:cNvSpPr>
          </xdr:nvSpPr>
          <xdr:spPr bwMode="auto">
            <a:xfrm rot="-4882971">
              <a:off x="1384" y="1495"/>
              <a:ext cx="21" cy="3"/>
            </a:xfrm>
            <a:custGeom>
              <a:avLst/>
              <a:gdLst>
                <a:gd name="T0" fmla="*/ 8 w 53"/>
                <a:gd name="T1" fmla="*/ 0 h 10"/>
                <a:gd name="T2" fmla="*/ 0 w 53"/>
                <a:gd name="T3" fmla="*/ 1 h 10"/>
                <a:gd name="T4" fmla="*/ 0 w 53"/>
                <a:gd name="T5" fmla="*/ 1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3" h="10">
                  <a:moveTo>
                    <a:pt x="53" y="0"/>
                  </a:moveTo>
                  <a:lnTo>
                    <a:pt x="0" y="10"/>
                  </a:lnTo>
                  <a:lnTo>
                    <a:pt x="1" y="1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6" name="Freeform 558"/>
            <xdr:cNvSpPr>
              <a:spLocks noChangeAspect="1"/>
            </xdr:cNvSpPr>
          </xdr:nvSpPr>
          <xdr:spPr bwMode="auto">
            <a:xfrm rot="-4882971">
              <a:off x="1353" y="1453"/>
              <a:ext cx="26" cy="18"/>
            </a:xfrm>
            <a:custGeom>
              <a:avLst/>
              <a:gdLst>
                <a:gd name="T0" fmla="*/ 9 w 74"/>
                <a:gd name="T1" fmla="*/ 7 h 45"/>
                <a:gd name="T2" fmla="*/ 7 w 74"/>
                <a:gd name="T3" fmla="*/ 3 h 45"/>
                <a:gd name="T4" fmla="*/ 4 w 74"/>
                <a:gd name="T5" fmla="*/ 0 h 45"/>
                <a:gd name="T6" fmla="*/ 0 w 74"/>
                <a:gd name="T7" fmla="*/ 0 h 45"/>
                <a:gd name="T8" fmla="*/ 0 w 74"/>
                <a:gd name="T9" fmla="*/ 0 h 4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74" h="45">
                  <a:moveTo>
                    <a:pt x="74" y="45"/>
                  </a:moveTo>
                  <a:lnTo>
                    <a:pt x="58" y="19"/>
                  </a:lnTo>
                  <a:lnTo>
                    <a:pt x="31" y="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7" name="Freeform 559"/>
            <xdr:cNvSpPr>
              <a:spLocks noChangeAspect="1"/>
            </xdr:cNvSpPr>
          </xdr:nvSpPr>
          <xdr:spPr bwMode="auto">
            <a:xfrm rot="-4882971">
              <a:off x="1831" y="1461"/>
              <a:ext cx="3" cy="24"/>
            </a:xfrm>
            <a:custGeom>
              <a:avLst/>
              <a:gdLst>
                <a:gd name="T0" fmla="*/ 0 w 10"/>
                <a:gd name="T1" fmla="*/ 10 h 56"/>
                <a:gd name="T2" fmla="*/ 1 w 10"/>
                <a:gd name="T3" fmla="*/ 0 h 56"/>
                <a:gd name="T4" fmla="*/ 1 w 10"/>
                <a:gd name="T5" fmla="*/ 0 h 5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0" h="56">
                  <a:moveTo>
                    <a:pt x="0" y="56"/>
                  </a:moveTo>
                  <a:lnTo>
                    <a:pt x="9" y="0"/>
                  </a:lnTo>
                  <a:lnTo>
                    <a:pt x="1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8" name="Freeform 560"/>
            <xdr:cNvSpPr>
              <a:spLocks noChangeAspect="1"/>
            </xdr:cNvSpPr>
          </xdr:nvSpPr>
          <xdr:spPr bwMode="auto">
            <a:xfrm rot="-4882971">
              <a:off x="1843" y="1449"/>
              <a:ext cx="32" cy="26"/>
            </a:xfrm>
            <a:custGeom>
              <a:avLst/>
              <a:gdLst>
                <a:gd name="T0" fmla="*/ 0 w 89"/>
                <a:gd name="T1" fmla="*/ 0 h 60"/>
                <a:gd name="T2" fmla="*/ 0 w 89"/>
                <a:gd name="T3" fmla="*/ 6 h 60"/>
                <a:gd name="T4" fmla="*/ 3 w 89"/>
                <a:gd name="T5" fmla="*/ 10 h 60"/>
                <a:gd name="T6" fmla="*/ 7 w 89"/>
                <a:gd name="T7" fmla="*/ 11 h 60"/>
                <a:gd name="T8" fmla="*/ 10 w 89"/>
                <a:gd name="T9" fmla="*/ 8 h 60"/>
                <a:gd name="T10" fmla="*/ 12 w 89"/>
                <a:gd name="T11" fmla="*/ 2 h 60"/>
                <a:gd name="T12" fmla="*/ 12 w 89"/>
                <a:gd name="T13" fmla="*/ 2 h 60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89" h="60">
                  <a:moveTo>
                    <a:pt x="1" y="0"/>
                  </a:moveTo>
                  <a:lnTo>
                    <a:pt x="0" y="31"/>
                  </a:lnTo>
                  <a:lnTo>
                    <a:pt x="21" y="56"/>
                  </a:lnTo>
                  <a:lnTo>
                    <a:pt x="52" y="60"/>
                  </a:lnTo>
                  <a:lnTo>
                    <a:pt x="79" y="42"/>
                  </a:lnTo>
                  <a:lnTo>
                    <a:pt x="88" y="12"/>
                  </a:lnTo>
                  <a:lnTo>
                    <a:pt x="89" y="1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9" name="Freeform 561"/>
            <xdr:cNvSpPr>
              <a:spLocks noChangeAspect="1"/>
            </xdr:cNvSpPr>
          </xdr:nvSpPr>
          <xdr:spPr bwMode="auto">
            <a:xfrm rot="-4882971">
              <a:off x="1549" y="1244"/>
              <a:ext cx="77" cy="460"/>
            </a:xfrm>
            <a:custGeom>
              <a:avLst/>
              <a:gdLst>
                <a:gd name="T0" fmla="*/ 27 w 219"/>
                <a:gd name="T1" fmla="*/ 188 h 1128"/>
                <a:gd name="T2" fmla="*/ 22 w 219"/>
                <a:gd name="T3" fmla="*/ 124 h 1128"/>
                <a:gd name="T4" fmla="*/ 13 w 219"/>
                <a:gd name="T5" fmla="*/ 62 h 1128"/>
                <a:gd name="T6" fmla="*/ 0 w 219"/>
                <a:gd name="T7" fmla="*/ 0 h 1128"/>
                <a:gd name="T8" fmla="*/ 0 w 219"/>
                <a:gd name="T9" fmla="*/ 0 h 112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19" h="1128">
                  <a:moveTo>
                    <a:pt x="219" y="1128"/>
                  </a:moveTo>
                  <a:lnTo>
                    <a:pt x="179" y="746"/>
                  </a:lnTo>
                  <a:lnTo>
                    <a:pt x="106" y="370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0" name="Freeform 562"/>
            <xdr:cNvSpPr>
              <a:spLocks noChangeAspect="1"/>
            </xdr:cNvSpPr>
          </xdr:nvSpPr>
          <xdr:spPr bwMode="auto">
            <a:xfrm rot="-4882971">
              <a:off x="1794" y="1389"/>
              <a:ext cx="11" cy="109"/>
            </a:xfrm>
            <a:custGeom>
              <a:avLst/>
              <a:gdLst>
                <a:gd name="T0" fmla="*/ 4 w 28"/>
                <a:gd name="T1" fmla="*/ 45 h 266"/>
                <a:gd name="T2" fmla="*/ 0 w 28"/>
                <a:gd name="T3" fmla="*/ 0 h 266"/>
                <a:gd name="T4" fmla="*/ 0 w 28"/>
                <a:gd name="T5" fmla="*/ 0 h 26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8" h="266">
                  <a:moveTo>
                    <a:pt x="28" y="266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1" name="Freeform 563"/>
            <xdr:cNvSpPr>
              <a:spLocks noChangeAspect="1"/>
            </xdr:cNvSpPr>
          </xdr:nvSpPr>
          <xdr:spPr bwMode="auto">
            <a:xfrm>
              <a:off x="1783" y="1478"/>
              <a:ext cx="116" cy="0"/>
            </a:xfrm>
            <a:custGeom>
              <a:avLst/>
              <a:gdLst>
                <a:gd name="T0" fmla="*/ 0 w 332"/>
                <a:gd name="T1" fmla="*/ 41 w 332"/>
                <a:gd name="T2" fmla="*/ 41 w 33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332">
                  <a:moveTo>
                    <a:pt x="0" y="0"/>
                  </a:moveTo>
                  <a:lnTo>
                    <a:pt x="331" y="0"/>
                  </a:lnTo>
                  <a:lnTo>
                    <a:pt x="33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2" name="Freeform 564"/>
            <xdr:cNvSpPr>
              <a:spLocks noChangeAspect="1"/>
            </xdr:cNvSpPr>
          </xdr:nvSpPr>
          <xdr:spPr bwMode="auto">
            <a:xfrm>
              <a:off x="1899" y="1478"/>
              <a:ext cx="32" cy="34"/>
            </a:xfrm>
            <a:custGeom>
              <a:avLst/>
              <a:gdLst>
                <a:gd name="T0" fmla="*/ 12 w 84"/>
                <a:gd name="T1" fmla="*/ 13 h 87"/>
                <a:gd name="T2" fmla="*/ 11 w 84"/>
                <a:gd name="T3" fmla="*/ 7 h 87"/>
                <a:gd name="T4" fmla="*/ 6 w 84"/>
                <a:gd name="T5" fmla="*/ 2 h 87"/>
                <a:gd name="T6" fmla="*/ 0 w 84"/>
                <a:gd name="T7" fmla="*/ 0 h 87"/>
                <a:gd name="T8" fmla="*/ 0 w 84"/>
                <a:gd name="T9" fmla="*/ 0 h 8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87">
                  <a:moveTo>
                    <a:pt x="84" y="87"/>
                  </a:moveTo>
                  <a:lnTo>
                    <a:pt x="75" y="44"/>
                  </a:lnTo>
                  <a:lnTo>
                    <a:pt x="43" y="11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3" name="Freeform 565"/>
            <xdr:cNvSpPr>
              <a:spLocks noChangeAspect="1"/>
            </xdr:cNvSpPr>
          </xdr:nvSpPr>
          <xdr:spPr bwMode="auto">
            <a:xfrm>
              <a:off x="1314" y="1478"/>
              <a:ext cx="32" cy="34"/>
            </a:xfrm>
            <a:custGeom>
              <a:avLst/>
              <a:gdLst>
                <a:gd name="T0" fmla="*/ 12 w 84"/>
                <a:gd name="T1" fmla="*/ 0 h 87"/>
                <a:gd name="T2" fmla="*/ 6 w 84"/>
                <a:gd name="T3" fmla="*/ 2 h 87"/>
                <a:gd name="T4" fmla="*/ 1 w 84"/>
                <a:gd name="T5" fmla="*/ 7 h 87"/>
                <a:gd name="T6" fmla="*/ 0 w 84"/>
                <a:gd name="T7" fmla="*/ 13 h 87"/>
                <a:gd name="T8" fmla="*/ 0 w 84"/>
                <a:gd name="T9" fmla="*/ 13 h 8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87">
                  <a:moveTo>
                    <a:pt x="84" y="0"/>
                  </a:moveTo>
                  <a:lnTo>
                    <a:pt x="41" y="11"/>
                  </a:lnTo>
                  <a:lnTo>
                    <a:pt x="9" y="44"/>
                  </a:lnTo>
                  <a:lnTo>
                    <a:pt x="0" y="87"/>
                  </a:lnTo>
                  <a:lnTo>
                    <a:pt x="1" y="8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4" name="Freeform 566"/>
            <xdr:cNvSpPr>
              <a:spLocks noChangeAspect="1"/>
            </xdr:cNvSpPr>
          </xdr:nvSpPr>
          <xdr:spPr bwMode="auto">
            <a:xfrm>
              <a:off x="1346" y="1478"/>
              <a:ext cx="48" cy="0"/>
            </a:xfrm>
            <a:custGeom>
              <a:avLst/>
              <a:gdLst>
                <a:gd name="T0" fmla="*/ 0 w 134"/>
                <a:gd name="T1" fmla="*/ 17 w 134"/>
                <a:gd name="T2" fmla="*/ 17 w 13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34">
                  <a:moveTo>
                    <a:pt x="0" y="0"/>
                  </a:moveTo>
                  <a:lnTo>
                    <a:pt x="133" y="0"/>
                  </a:lnTo>
                  <a:lnTo>
                    <a:pt x="13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5" name="Freeform 567"/>
            <xdr:cNvSpPr>
              <a:spLocks noChangeAspect="1"/>
            </xdr:cNvSpPr>
          </xdr:nvSpPr>
          <xdr:spPr bwMode="auto">
            <a:xfrm>
              <a:off x="1914" y="1627"/>
              <a:ext cx="849" cy="0"/>
            </a:xfrm>
            <a:custGeom>
              <a:avLst/>
              <a:gdLst>
                <a:gd name="T0" fmla="*/ 0 w 1830"/>
                <a:gd name="T1" fmla="*/ 394 w 1830"/>
                <a:gd name="T2" fmla="*/ 394 w 183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830">
                  <a:moveTo>
                    <a:pt x="0" y="0"/>
                  </a:moveTo>
                  <a:lnTo>
                    <a:pt x="1829" y="0"/>
                  </a:lnTo>
                  <a:lnTo>
                    <a:pt x="183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6" name="Freeform 568"/>
            <xdr:cNvSpPr>
              <a:spLocks noChangeAspect="1"/>
            </xdr:cNvSpPr>
          </xdr:nvSpPr>
          <xdr:spPr bwMode="auto">
            <a:xfrm>
              <a:off x="3480" y="1627"/>
              <a:ext cx="100" cy="106"/>
            </a:xfrm>
            <a:custGeom>
              <a:avLst/>
              <a:gdLst>
                <a:gd name="T0" fmla="*/ 35 w 282"/>
                <a:gd name="T1" fmla="*/ 44 h 255"/>
                <a:gd name="T2" fmla="*/ 33 w 282"/>
                <a:gd name="T3" fmla="*/ 30 h 255"/>
                <a:gd name="T4" fmla="*/ 28 w 282"/>
                <a:gd name="T5" fmla="*/ 18 h 255"/>
                <a:gd name="T6" fmla="*/ 20 w 282"/>
                <a:gd name="T7" fmla="*/ 8 h 255"/>
                <a:gd name="T8" fmla="*/ 10 w 282"/>
                <a:gd name="T9" fmla="*/ 2 h 255"/>
                <a:gd name="T10" fmla="*/ 0 w 282"/>
                <a:gd name="T11" fmla="*/ 0 h 255"/>
                <a:gd name="T12" fmla="*/ 0 w 282"/>
                <a:gd name="T13" fmla="*/ 0 h 25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2" h="255">
                  <a:moveTo>
                    <a:pt x="282" y="255"/>
                  </a:moveTo>
                  <a:lnTo>
                    <a:pt x="263" y="175"/>
                  </a:lnTo>
                  <a:lnTo>
                    <a:pt x="220" y="103"/>
                  </a:lnTo>
                  <a:lnTo>
                    <a:pt x="158" y="48"/>
                  </a:lnTo>
                  <a:lnTo>
                    <a:pt x="82" y="1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7" name="Freeform 569"/>
            <xdr:cNvSpPr>
              <a:spLocks noChangeAspect="1"/>
            </xdr:cNvSpPr>
          </xdr:nvSpPr>
          <xdr:spPr bwMode="auto">
            <a:xfrm>
              <a:off x="3609" y="1987"/>
              <a:ext cx="5" cy="74"/>
            </a:xfrm>
            <a:custGeom>
              <a:avLst/>
              <a:gdLst>
                <a:gd name="T0" fmla="*/ 2 w 16"/>
                <a:gd name="T1" fmla="*/ 30 h 183"/>
                <a:gd name="T2" fmla="*/ 0 w 16"/>
                <a:gd name="T3" fmla="*/ 0 h 183"/>
                <a:gd name="T4" fmla="*/ 0 w 16"/>
                <a:gd name="T5" fmla="*/ 0 h 183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6" h="183">
                  <a:moveTo>
                    <a:pt x="16" y="183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8" name="Freeform 570"/>
            <xdr:cNvSpPr>
              <a:spLocks noChangeAspect="1"/>
            </xdr:cNvSpPr>
          </xdr:nvSpPr>
          <xdr:spPr bwMode="auto">
            <a:xfrm>
              <a:off x="3603" y="1981"/>
              <a:ext cx="6" cy="6"/>
            </a:xfrm>
            <a:custGeom>
              <a:avLst/>
              <a:gdLst>
                <a:gd name="T0" fmla="*/ 3 w 11"/>
                <a:gd name="T1" fmla="*/ 3 h 13"/>
                <a:gd name="T2" fmla="*/ 2 w 11"/>
                <a:gd name="T3" fmla="*/ 1 h 13"/>
                <a:gd name="T4" fmla="*/ 0 w 11"/>
                <a:gd name="T5" fmla="*/ 0 h 13"/>
                <a:gd name="T6" fmla="*/ 1 w 11"/>
                <a:gd name="T7" fmla="*/ 0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13">
                  <a:moveTo>
                    <a:pt x="11" y="13"/>
                  </a:moveTo>
                  <a:lnTo>
                    <a:pt x="8" y="5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9" name="Freeform 571"/>
            <xdr:cNvSpPr>
              <a:spLocks noChangeAspect="1"/>
            </xdr:cNvSpPr>
          </xdr:nvSpPr>
          <xdr:spPr bwMode="auto">
            <a:xfrm>
              <a:off x="3600" y="1977"/>
              <a:ext cx="3" cy="4"/>
            </a:xfrm>
            <a:custGeom>
              <a:avLst/>
              <a:gdLst>
                <a:gd name="T0" fmla="*/ 0 w 11"/>
                <a:gd name="T1" fmla="*/ 0 h 12"/>
                <a:gd name="T2" fmla="*/ 0 w 11"/>
                <a:gd name="T3" fmla="*/ 1 h 12"/>
                <a:gd name="T4" fmla="*/ 1 w 11"/>
                <a:gd name="T5" fmla="*/ 1 h 12"/>
                <a:gd name="T6" fmla="*/ 1 w 11"/>
                <a:gd name="T7" fmla="*/ 1 h 12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12">
                  <a:moveTo>
                    <a:pt x="0" y="0"/>
                  </a:moveTo>
                  <a:lnTo>
                    <a:pt x="3" y="8"/>
                  </a:lnTo>
                  <a:lnTo>
                    <a:pt x="10" y="12"/>
                  </a:lnTo>
                  <a:lnTo>
                    <a:pt x="11" y="1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" name="Freeform 572"/>
            <xdr:cNvSpPr>
              <a:spLocks noChangeAspect="1"/>
            </xdr:cNvSpPr>
          </xdr:nvSpPr>
          <xdr:spPr bwMode="auto">
            <a:xfrm>
              <a:off x="3580" y="1733"/>
              <a:ext cx="20" cy="244"/>
            </a:xfrm>
            <a:custGeom>
              <a:avLst/>
              <a:gdLst>
                <a:gd name="T0" fmla="*/ 7 w 54"/>
                <a:gd name="T1" fmla="*/ 99 h 602"/>
                <a:gd name="T2" fmla="*/ 0 w 54"/>
                <a:gd name="T3" fmla="*/ 0 h 602"/>
                <a:gd name="T4" fmla="*/ 0 w 54"/>
                <a:gd name="T5" fmla="*/ 0 h 60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602">
                  <a:moveTo>
                    <a:pt x="54" y="602"/>
                  </a:moveTo>
                  <a:lnTo>
                    <a:pt x="0" y="0"/>
                  </a:lnTo>
                  <a:lnTo>
                    <a:pt x="2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" name="Freeform 573"/>
            <xdr:cNvSpPr>
              <a:spLocks noChangeAspect="1"/>
            </xdr:cNvSpPr>
          </xdr:nvSpPr>
          <xdr:spPr bwMode="auto">
            <a:xfrm>
              <a:off x="3549" y="2061"/>
              <a:ext cx="65" cy="834"/>
            </a:xfrm>
            <a:custGeom>
              <a:avLst/>
              <a:gdLst>
                <a:gd name="T0" fmla="*/ 23 w 180"/>
                <a:gd name="T1" fmla="*/ 0 h 2044"/>
                <a:gd name="T2" fmla="*/ 0 w 180"/>
                <a:gd name="T3" fmla="*/ 340 h 2044"/>
                <a:gd name="T4" fmla="*/ 0 w 180"/>
                <a:gd name="T5" fmla="*/ 340 h 20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80" h="2044">
                  <a:moveTo>
                    <a:pt x="180" y="0"/>
                  </a:moveTo>
                  <a:lnTo>
                    <a:pt x="0" y="2044"/>
                  </a:lnTo>
                  <a:lnTo>
                    <a:pt x="1" y="2044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" name="Freeform 574"/>
            <xdr:cNvSpPr>
              <a:spLocks noChangeAspect="1"/>
            </xdr:cNvSpPr>
          </xdr:nvSpPr>
          <xdr:spPr bwMode="auto">
            <a:xfrm>
              <a:off x="1115" y="1627"/>
              <a:ext cx="99" cy="106"/>
            </a:xfrm>
            <a:custGeom>
              <a:avLst/>
              <a:gdLst>
                <a:gd name="T0" fmla="*/ 35 w 282"/>
                <a:gd name="T1" fmla="*/ 0 h 255"/>
                <a:gd name="T2" fmla="*/ 25 w 282"/>
                <a:gd name="T3" fmla="*/ 2 h 255"/>
                <a:gd name="T4" fmla="*/ 15 w 282"/>
                <a:gd name="T5" fmla="*/ 8 h 255"/>
                <a:gd name="T6" fmla="*/ 8 w 282"/>
                <a:gd name="T7" fmla="*/ 18 h 255"/>
                <a:gd name="T8" fmla="*/ 2 w 282"/>
                <a:gd name="T9" fmla="*/ 30 h 255"/>
                <a:gd name="T10" fmla="*/ 0 w 282"/>
                <a:gd name="T11" fmla="*/ 44 h 255"/>
                <a:gd name="T12" fmla="*/ 0 w 282"/>
                <a:gd name="T13" fmla="*/ 44 h 25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2" h="255">
                  <a:moveTo>
                    <a:pt x="282" y="0"/>
                  </a:moveTo>
                  <a:lnTo>
                    <a:pt x="200" y="12"/>
                  </a:lnTo>
                  <a:lnTo>
                    <a:pt x="124" y="48"/>
                  </a:lnTo>
                  <a:lnTo>
                    <a:pt x="62" y="103"/>
                  </a:lnTo>
                  <a:lnTo>
                    <a:pt x="19" y="175"/>
                  </a:lnTo>
                  <a:lnTo>
                    <a:pt x="0" y="255"/>
                  </a:lnTo>
                  <a:lnTo>
                    <a:pt x="1" y="255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" name="Freeform 575"/>
            <xdr:cNvSpPr>
              <a:spLocks noChangeAspect="1"/>
            </xdr:cNvSpPr>
          </xdr:nvSpPr>
          <xdr:spPr bwMode="auto">
            <a:xfrm>
              <a:off x="1146" y="2895"/>
              <a:ext cx="100" cy="105"/>
            </a:xfrm>
            <a:custGeom>
              <a:avLst/>
              <a:gdLst>
                <a:gd name="T0" fmla="*/ 0 w 284"/>
                <a:gd name="T1" fmla="*/ 0 h 257"/>
                <a:gd name="T2" fmla="*/ 2 w 284"/>
                <a:gd name="T3" fmla="*/ 13 h 257"/>
                <a:gd name="T4" fmla="*/ 8 w 284"/>
                <a:gd name="T5" fmla="*/ 25 h 257"/>
                <a:gd name="T6" fmla="*/ 15 w 284"/>
                <a:gd name="T7" fmla="*/ 35 h 257"/>
                <a:gd name="T8" fmla="*/ 25 w 284"/>
                <a:gd name="T9" fmla="*/ 41 h 257"/>
                <a:gd name="T10" fmla="*/ 35 w 284"/>
                <a:gd name="T11" fmla="*/ 43 h 257"/>
                <a:gd name="T12" fmla="*/ 35 w 284"/>
                <a:gd name="T13" fmla="*/ 43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0"/>
                  </a:moveTo>
                  <a:lnTo>
                    <a:pt x="20" y="81"/>
                  </a:lnTo>
                  <a:lnTo>
                    <a:pt x="62" y="152"/>
                  </a:lnTo>
                  <a:lnTo>
                    <a:pt x="124" y="209"/>
                  </a:lnTo>
                  <a:lnTo>
                    <a:pt x="200" y="244"/>
                  </a:lnTo>
                  <a:lnTo>
                    <a:pt x="283" y="257"/>
                  </a:lnTo>
                  <a:lnTo>
                    <a:pt x="284" y="25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" name="Freeform 576"/>
            <xdr:cNvSpPr>
              <a:spLocks noChangeAspect="1"/>
            </xdr:cNvSpPr>
          </xdr:nvSpPr>
          <xdr:spPr bwMode="auto">
            <a:xfrm>
              <a:off x="1714" y="3131"/>
              <a:ext cx="28" cy="32"/>
            </a:xfrm>
            <a:custGeom>
              <a:avLst/>
              <a:gdLst>
                <a:gd name="T0" fmla="*/ 10 w 81"/>
                <a:gd name="T1" fmla="*/ 0 h 77"/>
                <a:gd name="T2" fmla="*/ 5 w 81"/>
                <a:gd name="T3" fmla="*/ 2 h 77"/>
                <a:gd name="T4" fmla="*/ 1 w 81"/>
                <a:gd name="T5" fmla="*/ 7 h 77"/>
                <a:gd name="T6" fmla="*/ 0 w 81"/>
                <a:gd name="T7" fmla="*/ 13 h 77"/>
                <a:gd name="T8" fmla="*/ 0 w 81"/>
                <a:gd name="T9" fmla="*/ 13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1" h="77">
                  <a:moveTo>
                    <a:pt x="81" y="0"/>
                  </a:moveTo>
                  <a:lnTo>
                    <a:pt x="42" y="12"/>
                  </a:lnTo>
                  <a:lnTo>
                    <a:pt x="13" y="39"/>
                  </a:lnTo>
                  <a:lnTo>
                    <a:pt x="0" y="77"/>
                  </a:lnTo>
                  <a:lnTo>
                    <a:pt x="1" y="7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" name="Freeform 577"/>
            <xdr:cNvSpPr>
              <a:spLocks noChangeAspect="1"/>
            </xdr:cNvSpPr>
          </xdr:nvSpPr>
          <xdr:spPr bwMode="auto">
            <a:xfrm>
              <a:off x="3366" y="3035"/>
              <a:ext cx="29" cy="35"/>
            </a:xfrm>
            <a:custGeom>
              <a:avLst/>
              <a:gdLst>
                <a:gd name="T0" fmla="*/ 0 w 83"/>
                <a:gd name="T1" fmla="*/ 14 h 85"/>
                <a:gd name="T2" fmla="*/ 5 w 83"/>
                <a:gd name="T3" fmla="*/ 12 h 85"/>
                <a:gd name="T4" fmla="*/ 9 w 83"/>
                <a:gd name="T5" fmla="*/ 7 h 85"/>
                <a:gd name="T6" fmla="*/ 10 w 83"/>
                <a:gd name="T7" fmla="*/ 0 h 85"/>
                <a:gd name="T8" fmla="*/ 10 w 83"/>
                <a:gd name="T9" fmla="*/ 0 h 8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3" h="85">
                  <a:moveTo>
                    <a:pt x="0" y="85"/>
                  </a:moveTo>
                  <a:lnTo>
                    <a:pt x="41" y="72"/>
                  </a:lnTo>
                  <a:lnTo>
                    <a:pt x="71" y="42"/>
                  </a:lnTo>
                  <a:lnTo>
                    <a:pt x="82" y="0"/>
                  </a:lnTo>
                  <a:lnTo>
                    <a:pt x="83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" name="Freeform 578"/>
            <xdr:cNvSpPr>
              <a:spLocks noChangeAspect="1"/>
            </xdr:cNvSpPr>
          </xdr:nvSpPr>
          <xdr:spPr bwMode="auto">
            <a:xfrm>
              <a:off x="1742" y="3070"/>
              <a:ext cx="1624" cy="61"/>
            </a:xfrm>
            <a:custGeom>
              <a:avLst/>
              <a:gdLst>
                <a:gd name="T0" fmla="*/ 580 w 4545"/>
                <a:gd name="T1" fmla="*/ 0 h 156"/>
                <a:gd name="T2" fmla="*/ 0 w 4545"/>
                <a:gd name="T3" fmla="*/ 24 h 156"/>
                <a:gd name="T4" fmla="*/ 0 w 4545"/>
                <a:gd name="T5" fmla="*/ 24 h 15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545" h="156">
                  <a:moveTo>
                    <a:pt x="4545" y="0"/>
                  </a:moveTo>
                  <a:lnTo>
                    <a:pt x="0" y="156"/>
                  </a:lnTo>
                  <a:lnTo>
                    <a:pt x="1" y="156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" name="Freeform 579"/>
            <xdr:cNvSpPr>
              <a:spLocks noChangeAspect="1"/>
            </xdr:cNvSpPr>
          </xdr:nvSpPr>
          <xdr:spPr bwMode="auto">
            <a:xfrm>
              <a:off x="3395" y="3000"/>
              <a:ext cx="31" cy="35"/>
            </a:xfrm>
            <a:custGeom>
              <a:avLst/>
              <a:gdLst>
                <a:gd name="T0" fmla="*/ 11 w 85"/>
                <a:gd name="T1" fmla="*/ 0 h 83"/>
                <a:gd name="T2" fmla="*/ 5 w 85"/>
                <a:gd name="T3" fmla="*/ 2 h 83"/>
                <a:gd name="T4" fmla="*/ 1 w 85"/>
                <a:gd name="T5" fmla="*/ 7 h 83"/>
                <a:gd name="T6" fmla="*/ 0 w 85"/>
                <a:gd name="T7" fmla="*/ 15 h 83"/>
                <a:gd name="T8" fmla="*/ 0 w 85"/>
                <a:gd name="T9" fmla="*/ 15 h 8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5" h="83">
                  <a:moveTo>
                    <a:pt x="85" y="0"/>
                  </a:moveTo>
                  <a:lnTo>
                    <a:pt x="42" y="10"/>
                  </a:lnTo>
                  <a:lnTo>
                    <a:pt x="11" y="41"/>
                  </a:lnTo>
                  <a:lnTo>
                    <a:pt x="0" y="83"/>
                  </a:lnTo>
                  <a:lnTo>
                    <a:pt x="1" y="83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" name="Freeform 580"/>
            <xdr:cNvSpPr>
              <a:spLocks noChangeAspect="1"/>
            </xdr:cNvSpPr>
          </xdr:nvSpPr>
          <xdr:spPr bwMode="auto">
            <a:xfrm>
              <a:off x="3426" y="3000"/>
              <a:ext cx="22" cy="0"/>
            </a:xfrm>
            <a:custGeom>
              <a:avLst/>
              <a:gdLst>
                <a:gd name="T0" fmla="*/ 0 w 62"/>
                <a:gd name="T1" fmla="*/ 8 w 62"/>
                <a:gd name="T2" fmla="*/ 8 w 6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62">
                  <a:moveTo>
                    <a:pt x="0" y="0"/>
                  </a:moveTo>
                  <a:lnTo>
                    <a:pt x="61" y="0"/>
                  </a:lnTo>
                  <a:lnTo>
                    <a:pt x="62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" name="Freeform 581"/>
            <xdr:cNvSpPr>
              <a:spLocks noChangeAspect="1"/>
            </xdr:cNvSpPr>
          </xdr:nvSpPr>
          <xdr:spPr bwMode="auto">
            <a:xfrm>
              <a:off x="1679" y="3198"/>
              <a:ext cx="32" cy="31"/>
            </a:xfrm>
            <a:custGeom>
              <a:avLst/>
              <a:gdLst>
                <a:gd name="T0" fmla="*/ 0 w 86"/>
                <a:gd name="T1" fmla="*/ 12 h 77"/>
                <a:gd name="T2" fmla="*/ 6 w 86"/>
                <a:gd name="T3" fmla="*/ 11 h 77"/>
                <a:gd name="T4" fmla="*/ 10 w 86"/>
                <a:gd name="T5" fmla="*/ 6 h 77"/>
                <a:gd name="T6" fmla="*/ 12 w 86"/>
                <a:gd name="T7" fmla="*/ 0 h 77"/>
                <a:gd name="T8" fmla="*/ 12 w 86"/>
                <a:gd name="T9" fmla="*/ 0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6" h="77">
                  <a:moveTo>
                    <a:pt x="0" y="77"/>
                  </a:moveTo>
                  <a:lnTo>
                    <a:pt x="40" y="67"/>
                  </a:lnTo>
                  <a:lnTo>
                    <a:pt x="70" y="39"/>
                  </a:lnTo>
                  <a:lnTo>
                    <a:pt x="85" y="0"/>
                  </a:lnTo>
                  <a:lnTo>
                    <a:pt x="86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" name="Freeform 582"/>
            <xdr:cNvSpPr>
              <a:spLocks noChangeAspect="1"/>
            </xdr:cNvSpPr>
          </xdr:nvSpPr>
          <xdr:spPr bwMode="auto">
            <a:xfrm>
              <a:off x="1300" y="3198"/>
              <a:ext cx="32" cy="31"/>
            </a:xfrm>
            <a:custGeom>
              <a:avLst/>
              <a:gdLst>
                <a:gd name="T0" fmla="*/ 0 w 85"/>
                <a:gd name="T1" fmla="*/ 0 h 77"/>
                <a:gd name="T2" fmla="*/ 2 w 85"/>
                <a:gd name="T3" fmla="*/ 6 h 77"/>
                <a:gd name="T4" fmla="*/ 6 w 85"/>
                <a:gd name="T5" fmla="*/ 11 h 77"/>
                <a:gd name="T6" fmla="*/ 12 w 85"/>
                <a:gd name="T7" fmla="*/ 12 h 77"/>
                <a:gd name="T8" fmla="*/ 12 w 85"/>
                <a:gd name="T9" fmla="*/ 12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5" h="77">
                  <a:moveTo>
                    <a:pt x="0" y="0"/>
                  </a:moveTo>
                  <a:lnTo>
                    <a:pt x="13" y="39"/>
                  </a:lnTo>
                  <a:lnTo>
                    <a:pt x="44" y="67"/>
                  </a:lnTo>
                  <a:lnTo>
                    <a:pt x="84" y="77"/>
                  </a:lnTo>
                  <a:lnTo>
                    <a:pt x="85" y="7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" name="Freeform 583"/>
            <xdr:cNvSpPr>
              <a:spLocks noChangeAspect="1"/>
            </xdr:cNvSpPr>
          </xdr:nvSpPr>
          <xdr:spPr bwMode="auto">
            <a:xfrm>
              <a:off x="1711" y="3163"/>
              <a:ext cx="3" cy="35"/>
            </a:xfrm>
            <a:custGeom>
              <a:avLst/>
              <a:gdLst>
                <a:gd name="T0" fmla="*/ 1 w 7"/>
                <a:gd name="T1" fmla="*/ 0 h 82"/>
                <a:gd name="T2" fmla="*/ 0 w 7"/>
                <a:gd name="T3" fmla="*/ 15 h 82"/>
                <a:gd name="T4" fmla="*/ 0 w 7"/>
                <a:gd name="T5" fmla="*/ 15 h 8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82">
                  <a:moveTo>
                    <a:pt x="7" y="0"/>
                  </a:moveTo>
                  <a:lnTo>
                    <a:pt x="0" y="82"/>
                  </a:lnTo>
                  <a:lnTo>
                    <a:pt x="1" y="82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" name="Freeform 584"/>
            <xdr:cNvSpPr>
              <a:spLocks noChangeAspect="1"/>
            </xdr:cNvSpPr>
          </xdr:nvSpPr>
          <xdr:spPr bwMode="auto">
            <a:xfrm>
              <a:off x="3448" y="2895"/>
              <a:ext cx="101" cy="105"/>
            </a:xfrm>
            <a:custGeom>
              <a:avLst/>
              <a:gdLst>
                <a:gd name="T0" fmla="*/ 0 w 284"/>
                <a:gd name="T1" fmla="*/ 43 h 257"/>
                <a:gd name="T2" fmla="*/ 11 w 284"/>
                <a:gd name="T3" fmla="*/ 41 h 257"/>
                <a:gd name="T4" fmla="*/ 20 w 284"/>
                <a:gd name="T5" fmla="*/ 35 h 257"/>
                <a:gd name="T6" fmla="*/ 28 w 284"/>
                <a:gd name="T7" fmla="*/ 25 h 257"/>
                <a:gd name="T8" fmla="*/ 33 w 284"/>
                <a:gd name="T9" fmla="*/ 13 h 257"/>
                <a:gd name="T10" fmla="*/ 36 w 284"/>
                <a:gd name="T11" fmla="*/ 0 h 257"/>
                <a:gd name="T12" fmla="*/ 36 w 284"/>
                <a:gd name="T13" fmla="*/ 0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257"/>
                  </a:moveTo>
                  <a:lnTo>
                    <a:pt x="83" y="244"/>
                  </a:lnTo>
                  <a:lnTo>
                    <a:pt x="159" y="209"/>
                  </a:lnTo>
                  <a:lnTo>
                    <a:pt x="221" y="152"/>
                  </a:lnTo>
                  <a:lnTo>
                    <a:pt x="263" y="81"/>
                  </a:lnTo>
                  <a:lnTo>
                    <a:pt x="283" y="0"/>
                  </a:lnTo>
                  <a:lnTo>
                    <a:pt x="284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" name="Freeform 585"/>
            <xdr:cNvSpPr>
              <a:spLocks noChangeAspect="1"/>
            </xdr:cNvSpPr>
          </xdr:nvSpPr>
          <xdr:spPr bwMode="auto">
            <a:xfrm>
              <a:off x="1241" y="3001"/>
              <a:ext cx="44" cy="31"/>
            </a:xfrm>
            <a:custGeom>
              <a:avLst/>
              <a:gdLst>
                <a:gd name="T0" fmla="*/ 23 w 84"/>
                <a:gd name="T1" fmla="*/ 13 h 76"/>
                <a:gd name="T2" fmla="*/ 19 w 84"/>
                <a:gd name="T3" fmla="*/ 6 h 76"/>
                <a:gd name="T4" fmla="*/ 11 w 84"/>
                <a:gd name="T5" fmla="*/ 2 h 76"/>
                <a:gd name="T6" fmla="*/ 0 w 84"/>
                <a:gd name="T7" fmla="*/ 0 h 76"/>
                <a:gd name="T8" fmla="*/ 1 w 84"/>
                <a:gd name="T9" fmla="*/ 0 h 7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76">
                  <a:moveTo>
                    <a:pt x="84" y="76"/>
                  </a:moveTo>
                  <a:lnTo>
                    <a:pt x="71" y="37"/>
                  </a:lnTo>
                  <a:lnTo>
                    <a:pt x="40" y="9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" name="Freeform 586"/>
            <xdr:cNvSpPr>
              <a:spLocks noChangeAspect="1"/>
            </xdr:cNvSpPr>
          </xdr:nvSpPr>
          <xdr:spPr bwMode="auto">
            <a:xfrm>
              <a:off x="1285" y="3032"/>
              <a:ext cx="15" cy="166"/>
            </a:xfrm>
            <a:custGeom>
              <a:avLst/>
              <a:gdLst>
                <a:gd name="T0" fmla="*/ 0 w 38"/>
                <a:gd name="T1" fmla="*/ 0 h 407"/>
                <a:gd name="T2" fmla="*/ 6 w 38"/>
                <a:gd name="T3" fmla="*/ 68 h 407"/>
                <a:gd name="T4" fmla="*/ 6 w 38"/>
                <a:gd name="T5" fmla="*/ 68 h 40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8" h="407">
                  <a:moveTo>
                    <a:pt x="0" y="0"/>
                  </a:moveTo>
                  <a:lnTo>
                    <a:pt x="37" y="407"/>
                  </a:lnTo>
                  <a:lnTo>
                    <a:pt x="38" y="40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" name="Freeform 587"/>
            <xdr:cNvSpPr>
              <a:spLocks noChangeAspect="1"/>
            </xdr:cNvSpPr>
          </xdr:nvSpPr>
          <xdr:spPr bwMode="auto">
            <a:xfrm>
              <a:off x="1332" y="3229"/>
              <a:ext cx="351" cy="0"/>
            </a:xfrm>
            <a:custGeom>
              <a:avLst/>
              <a:gdLst>
                <a:gd name="T0" fmla="*/ 0 w 980"/>
                <a:gd name="T1" fmla="*/ 126 w 980"/>
                <a:gd name="T2" fmla="*/ 126 w 98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0">
                  <a:moveTo>
                    <a:pt x="0" y="0"/>
                  </a:moveTo>
                  <a:lnTo>
                    <a:pt x="979" y="0"/>
                  </a:lnTo>
                  <a:lnTo>
                    <a:pt x="98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" name="Freeform 588"/>
            <xdr:cNvSpPr>
              <a:spLocks noChangeAspect="1"/>
            </xdr:cNvSpPr>
          </xdr:nvSpPr>
          <xdr:spPr bwMode="auto">
            <a:xfrm>
              <a:off x="1146" y="2895"/>
              <a:ext cx="100" cy="106"/>
            </a:xfrm>
            <a:custGeom>
              <a:avLst/>
              <a:gdLst>
                <a:gd name="T0" fmla="*/ 0 w 284"/>
                <a:gd name="T1" fmla="*/ 0 h 257"/>
                <a:gd name="T2" fmla="*/ 2 w 284"/>
                <a:gd name="T3" fmla="*/ 14 h 257"/>
                <a:gd name="T4" fmla="*/ 8 w 284"/>
                <a:gd name="T5" fmla="*/ 26 h 257"/>
                <a:gd name="T6" fmla="*/ 15 w 284"/>
                <a:gd name="T7" fmla="*/ 35 h 257"/>
                <a:gd name="T8" fmla="*/ 25 w 284"/>
                <a:gd name="T9" fmla="*/ 42 h 257"/>
                <a:gd name="T10" fmla="*/ 35 w 284"/>
                <a:gd name="T11" fmla="*/ 44 h 257"/>
                <a:gd name="T12" fmla="*/ 35 w 284"/>
                <a:gd name="T13" fmla="*/ 44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0"/>
                  </a:moveTo>
                  <a:lnTo>
                    <a:pt x="20" y="81"/>
                  </a:lnTo>
                  <a:lnTo>
                    <a:pt x="62" y="152"/>
                  </a:lnTo>
                  <a:lnTo>
                    <a:pt x="124" y="209"/>
                  </a:lnTo>
                  <a:lnTo>
                    <a:pt x="200" y="244"/>
                  </a:lnTo>
                  <a:lnTo>
                    <a:pt x="283" y="257"/>
                  </a:lnTo>
                  <a:lnTo>
                    <a:pt x="284" y="25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127" name="Group 589"/>
            <xdr:cNvGrpSpPr>
              <a:grpSpLocks noChangeAspect="1"/>
            </xdr:cNvGrpSpPr>
          </xdr:nvGrpSpPr>
          <xdr:grpSpPr bwMode="auto">
            <a:xfrm>
              <a:off x="1080" y="1733"/>
              <a:ext cx="66" cy="1162"/>
              <a:chOff x="1529" y="1501"/>
              <a:chExt cx="70" cy="1239"/>
            </a:xfrm>
          </xdr:grpSpPr>
          <xdr:sp macro="" textlink="">
            <xdr:nvSpPr>
              <xdr:cNvPr id="224" name="Freeform 590"/>
              <xdr:cNvSpPr>
                <a:spLocks noChangeAspect="1"/>
              </xdr:cNvSpPr>
            </xdr:nvSpPr>
            <xdr:spPr bwMode="auto">
              <a:xfrm>
                <a:off x="1541" y="1762"/>
                <a:ext cx="3" cy="4"/>
              </a:xfrm>
              <a:custGeom>
                <a:avLst/>
                <a:gdLst>
                  <a:gd name="T0" fmla="*/ 0 w 12"/>
                  <a:gd name="T1" fmla="*/ 1 h 12"/>
                  <a:gd name="T2" fmla="*/ 1 w 12"/>
                  <a:gd name="T3" fmla="*/ 1 h 12"/>
                  <a:gd name="T4" fmla="*/ 1 w 12"/>
                  <a:gd name="T5" fmla="*/ 0 h 12"/>
                  <a:gd name="T6" fmla="*/ 1 w 12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2" h="12">
                    <a:moveTo>
                      <a:pt x="0" y="12"/>
                    </a:moveTo>
                    <a:lnTo>
                      <a:pt x="7" y="8"/>
                    </a:lnTo>
                    <a:lnTo>
                      <a:pt x="11" y="0"/>
                    </a:lnTo>
                    <a:lnTo>
                      <a:pt x="12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5" name="Freeform 591"/>
              <xdr:cNvSpPr>
                <a:spLocks noChangeAspect="1"/>
              </xdr:cNvSpPr>
            </xdr:nvSpPr>
            <xdr:spPr bwMode="auto">
              <a:xfrm>
                <a:off x="1535" y="1766"/>
                <a:ext cx="6" cy="6"/>
              </a:xfrm>
              <a:custGeom>
                <a:avLst/>
                <a:gdLst>
                  <a:gd name="T0" fmla="*/ 3 w 11"/>
                  <a:gd name="T1" fmla="*/ 0 h 13"/>
                  <a:gd name="T2" fmla="*/ 1 w 11"/>
                  <a:gd name="T3" fmla="*/ 1 h 13"/>
                  <a:gd name="T4" fmla="*/ 0 w 11"/>
                  <a:gd name="T5" fmla="*/ 3 h 13"/>
                  <a:gd name="T6" fmla="*/ 1 w 11"/>
                  <a:gd name="T7" fmla="*/ 3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1" h="13">
                    <a:moveTo>
                      <a:pt x="11" y="0"/>
                    </a:moveTo>
                    <a:lnTo>
                      <a:pt x="3" y="5"/>
                    </a:lnTo>
                    <a:lnTo>
                      <a:pt x="0" y="13"/>
                    </a:lnTo>
                    <a:lnTo>
                      <a:pt x="1" y="13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6" name="Freeform 592"/>
              <xdr:cNvSpPr>
                <a:spLocks noChangeAspect="1"/>
              </xdr:cNvSpPr>
            </xdr:nvSpPr>
            <xdr:spPr bwMode="auto">
              <a:xfrm>
                <a:off x="1529" y="1772"/>
                <a:ext cx="6" cy="79"/>
              </a:xfrm>
              <a:custGeom>
                <a:avLst/>
                <a:gdLst>
                  <a:gd name="T0" fmla="*/ 0 w 17"/>
                  <a:gd name="T1" fmla="*/ 34 h 183"/>
                  <a:gd name="T2" fmla="*/ 2 w 17"/>
                  <a:gd name="T3" fmla="*/ 0 h 183"/>
                  <a:gd name="T4" fmla="*/ 2 w 17"/>
                  <a:gd name="T5" fmla="*/ 0 h 18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7" h="183">
                    <a:moveTo>
                      <a:pt x="0" y="183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7" name="Freeform 593"/>
              <xdr:cNvSpPr>
                <a:spLocks noChangeAspect="1"/>
              </xdr:cNvSpPr>
            </xdr:nvSpPr>
            <xdr:spPr bwMode="auto">
              <a:xfrm>
                <a:off x="1544" y="1501"/>
                <a:ext cx="22" cy="261"/>
              </a:xfrm>
              <a:custGeom>
                <a:avLst/>
                <a:gdLst>
                  <a:gd name="T0" fmla="*/ 0 w 54"/>
                  <a:gd name="T1" fmla="*/ 113 h 602"/>
                  <a:gd name="T2" fmla="*/ 9 w 54"/>
                  <a:gd name="T3" fmla="*/ 0 h 602"/>
                  <a:gd name="T4" fmla="*/ 9 w 54"/>
                  <a:gd name="T5" fmla="*/ 0 h 60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4" h="602">
                    <a:moveTo>
                      <a:pt x="0" y="602"/>
                    </a:moveTo>
                    <a:lnTo>
                      <a:pt x="53" y="0"/>
                    </a:lnTo>
                    <a:lnTo>
                      <a:pt x="54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8" name="Freeform 594"/>
              <xdr:cNvSpPr>
                <a:spLocks noChangeAspect="1"/>
              </xdr:cNvSpPr>
            </xdr:nvSpPr>
            <xdr:spPr bwMode="auto">
              <a:xfrm>
                <a:off x="1529" y="1851"/>
                <a:ext cx="70" cy="889"/>
              </a:xfrm>
              <a:custGeom>
                <a:avLst/>
                <a:gdLst>
                  <a:gd name="T0" fmla="*/ 0 w 182"/>
                  <a:gd name="T1" fmla="*/ 0 h 2044"/>
                  <a:gd name="T2" fmla="*/ 27 w 182"/>
                  <a:gd name="T3" fmla="*/ 387 h 2044"/>
                  <a:gd name="T4" fmla="*/ 27 w 182"/>
                  <a:gd name="T5" fmla="*/ 387 h 20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82" h="2044">
                    <a:moveTo>
                      <a:pt x="0" y="0"/>
                    </a:moveTo>
                    <a:lnTo>
                      <a:pt x="180" y="2044"/>
                    </a:lnTo>
                    <a:lnTo>
                      <a:pt x="182" y="2044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128" name="Group 595"/>
            <xdr:cNvGrpSpPr>
              <a:grpSpLocks noChangeAspect="1"/>
            </xdr:cNvGrpSpPr>
          </xdr:nvGrpSpPr>
          <xdr:grpSpPr bwMode="auto">
            <a:xfrm>
              <a:off x="1222" y="1613"/>
              <a:ext cx="89" cy="33"/>
              <a:chOff x="1681" y="1373"/>
              <a:chExt cx="95" cy="36"/>
            </a:xfrm>
          </xdr:grpSpPr>
          <xdr:sp macro="" textlink="">
            <xdr:nvSpPr>
              <xdr:cNvPr id="206" name="Freeform 596"/>
              <xdr:cNvSpPr>
                <a:spLocks noChangeAspect="1"/>
              </xdr:cNvSpPr>
            </xdr:nvSpPr>
            <xdr:spPr bwMode="auto">
              <a:xfrm>
                <a:off x="1681" y="1388"/>
                <a:ext cx="94" cy="0"/>
              </a:xfrm>
              <a:custGeom>
                <a:avLst/>
                <a:gdLst>
                  <a:gd name="T0" fmla="*/ 0 w 247"/>
                  <a:gd name="T1" fmla="*/ 36 w 247"/>
                  <a:gd name="T2" fmla="*/ 36 w 24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7">
                    <a:moveTo>
                      <a:pt x="0" y="0"/>
                    </a:moveTo>
                    <a:lnTo>
                      <a:pt x="246" y="0"/>
                    </a:lnTo>
                    <a:lnTo>
                      <a:pt x="2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7" name="Freeform 597"/>
              <xdr:cNvSpPr>
                <a:spLocks noChangeAspect="1"/>
              </xdr:cNvSpPr>
            </xdr:nvSpPr>
            <xdr:spPr bwMode="auto">
              <a:xfrm>
                <a:off x="1754" y="1373"/>
                <a:ext cx="0" cy="15"/>
              </a:xfrm>
              <a:custGeom>
                <a:avLst/>
                <a:gdLst>
                  <a:gd name="T0" fmla="*/ 0 w 1"/>
                  <a:gd name="T1" fmla="*/ 0 h 33"/>
                  <a:gd name="T2" fmla="*/ 0 w 1"/>
                  <a:gd name="T3" fmla="*/ 7 h 33"/>
                  <a:gd name="T4" fmla="*/ 1 w 1"/>
                  <a:gd name="T5" fmla="*/ 7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0"/>
                    </a:moveTo>
                    <a:lnTo>
                      <a:pt x="0" y="33"/>
                    </a:lnTo>
                    <a:lnTo>
                      <a:pt x="1" y="3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8" name="Freeform 598"/>
              <xdr:cNvSpPr>
                <a:spLocks noChangeAspect="1"/>
              </xdr:cNvSpPr>
            </xdr:nvSpPr>
            <xdr:spPr bwMode="auto">
              <a:xfrm>
                <a:off x="1775" y="1373"/>
                <a:ext cx="0" cy="15"/>
              </a:xfrm>
              <a:custGeom>
                <a:avLst/>
                <a:gdLst>
                  <a:gd name="T0" fmla="*/ 0 w 1"/>
                  <a:gd name="T1" fmla="*/ 7 h 33"/>
                  <a:gd name="T2" fmla="*/ 0 w 1"/>
                  <a:gd name="T3" fmla="*/ 0 h 33"/>
                  <a:gd name="T4" fmla="*/ 1 w 1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3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9" name="Freeform 599"/>
              <xdr:cNvSpPr>
                <a:spLocks noChangeAspect="1"/>
              </xdr:cNvSpPr>
            </xdr:nvSpPr>
            <xdr:spPr bwMode="auto">
              <a:xfrm>
                <a:off x="1681" y="1373"/>
                <a:ext cx="3" cy="15"/>
              </a:xfrm>
              <a:custGeom>
                <a:avLst/>
                <a:gdLst>
                  <a:gd name="T0" fmla="*/ 0 w 1"/>
                  <a:gd name="T1" fmla="*/ 7 h 33"/>
                  <a:gd name="T2" fmla="*/ 0 w 1"/>
                  <a:gd name="T3" fmla="*/ 0 h 33"/>
                  <a:gd name="T4" fmla="*/ 9 w 1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3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0" name="Freeform 600"/>
              <xdr:cNvSpPr>
                <a:spLocks noChangeAspect="1"/>
              </xdr:cNvSpPr>
            </xdr:nvSpPr>
            <xdr:spPr bwMode="auto">
              <a:xfrm>
                <a:off x="1702" y="1373"/>
                <a:ext cx="0" cy="15"/>
              </a:xfrm>
              <a:custGeom>
                <a:avLst/>
                <a:gdLst>
                  <a:gd name="T0" fmla="*/ 0 w 2"/>
                  <a:gd name="T1" fmla="*/ 0 h 33"/>
                  <a:gd name="T2" fmla="*/ 0 w 2"/>
                  <a:gd name="T3" fmla="*/ 7 h 33"/>
                  <a:gd name="T4" fmla="*/ 1 w 2"/>
                  <a:gd name="T5" fmla="*/ 7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33">
                    <a:moveTo>
                      <a:pt x="0" y="0"/>
                    </a:moveTo>
                    <a:lnTo>
                      <a:pt x="0" y="33"/>
                    </a:lnTo>
                    <a:lnTo>
                      <a:pt x="2" y="3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1" name="Freeform 601"/>
              <xdr:cNvSpPr>
                <a:spLocks noChangeAspect="1"/>
              </xdr:cNvSpPr>
            </xdr:nvSpPr>
            <xdr:spPr bwMode="auto">
              <a:xfrm>
                <a:off x="1681" y="1373"/>
                <a:ext cx="21" cy="0"/>
              </a:xfrm>
              <a:custGeom>
                <a:avLst/>
                <a:gdLst>
                  <a:gd name="T0" fmla="*/ 0 w 53"/>
                  <a:gd name="T1" fmla="*/ 8 w 53"/>
                  <a:gd name="T2" fmla="*/ 8 w 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3">
                    <a:moveTo>
                      <a:pt x="0" y="0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2" name="Freeform 602"/>
              <xdr:cNvSpPr>
                <a:spLocks noChangeAspect="1"/>
              </xdr:cNvSpPr>
            </xdr:nvSpPr>
            <xdr:spPr bwMode="auto">
              <a:xfrm>
                <a:off x="1757" y="1373"/>
                <a:ext cx="18" cy="0"/>
              </a:xfrm>
              <a:custGeom>
                <a:avLst/>
                <a:gdLst>
                  <a:gd name="T0" fmla="*/ 0 w 53"/>
                  <a:gd name="T1" fmla="*/ 6 w 53"/>
                  <a:gd name="T2" fmla="*/ 6 w 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3">
                    <a:moveTo>
                      <a:pt x="0" y="0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3" name="Freeform 603"/>
              <xdr:cNvSpPr>
                <a:spLocks noChangeAspect="1"/>
              </xdr:cNvSpPr>
            </xdr:nvSpPr>
            <xdr:spPr bwMode="auto">
              <a:xfrm>
                <a:off x="1702" y="1373"/>
                <a:ext cx="55" cy="0"/>
              </a:xfrm>
              <a:custGeom>
                <a:avLst/>
                <a:gdLst>
                  <a:gd name="T0" fmla="*/ 0 w 143"/>
                  <a:gd name="T1" fmla="*/ 21 w 143"/>
                  <a:gd name="T2" fmla="*/ 21 w 14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43">
                    <a:moveTo>
                      <a:pt x="0" y="0"/>
                    </a:moveTo>
                    <a:lnTo>
                      <a:pt x="142" y="0"/>
                    </a:lnTo>
                    <a:lnTo>
                      <a:pt x="1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4" name="Freeform 604"/>
              <xdr:cNvSpPr>
                <a:spLocks noChangeAspect="1"/>
              </xdr:cNvSpPr>
            </xdr:nvSpPr>
            <xdr:spPr bwMode="auto">
              <a:xfrm>
                <a:off x="1776" y="1388"/>
                <a:ext cx="0" cy="15"/>
              </a:xfrm>
              <a:custGeom>
                <a:avLst/>
                <a:gdLst>
                  <a:gd name="T0" fmla="*/ 0 w 1"/>
                  <a:gd name="T1" fmla="*/ 0 h 32"/>
                  <a:gd name="T2" fmla="*/ 0 w 1"/>
                  <a:gd name="T3" fmla="*/ 7 h 32"/>
                  <a:gd name="T4" fmla="*/ 1 w 1"/>
                  <a:gd name="T5" fmla="*/ 7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0"/>
                    </a:moveTo>
                    <a:lnTo>
                      <a:pt x="0" y="32"/>
                    </a:lnTo>
                    <a:lnTo>
                      <a:pt x="1" y="3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5" name="Freeform 605"/>
              <xdr:cNvSpPr>
                <a:spLocks noChangeAspect="1"/>
              </xdr:cNvSpPr>
            </xdr:nvSpPr>
            <xdr:spPr bwMode="auto">
              <a:xfrm>
                <a:off x="1754" y="1388"/>
                <a:ext cx="0" cy="15"/>
              </a:xfrm>
              <a:custGeom>
                <a:avLst/>
                <a:gdLst>
                  <a:gd name="T0" fmla="*/ 0 w 1"/>
                  <a:gd name="T1" fmla="*/ 7 h 32"/>
                  <a:gd name="T2" fmla="*/ 0 w 1"/>
                  <a:gd name="T3" fmla="*/ 0 h 32"/>
                  <a:gd name="T4" fmla="*/ 1 w 1"/>
                  <a:gd name="T5" fmla="*/ 0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3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6" name="Freeform 606"/>
              <xdr:cNvSpPr>
                <a:spLocks noChangeAspect="1"/>
              </xdr:cNvSpPr>
            </xdr:nvSpPr>
            <xdr:spPr bwMode="auto">
              <a:xfrm>
                <a:off x="1757" y="1403"/>
                <a:ext cx="3" cy="6"/>
              </a:xfrm>
              <a:custGeom>
                <a:avLst/>
                <a:gdLst>
                  <a:gd name="T0" fmla="*/ 0 w 1"/>
                  <a:gd name="T1" fmla="*/ 0 h 19"/>
                  <a:gd name="T2" fmla="*/ 0 w 1"/>
                  <a:gd name="T3" fmla="*/ 2 h 19"/>
                  <a:gd name="T4" fmla="*/ 9 w 1"/>
                  <a:gd name="T5" fmla="*/ 2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">
                    <a:moveTo>
                      <a:pt x="0" y="0"/>
                    </a:moveTo>
                    <a:lnTo>
                      <a:pt x="0" y="19"/>
                    </a:lnTo>
                    <a:lnTo>
                      <a:pt x="1" y="19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7" name="Freeform 607"/>
              <xdr:cNvSpPr>
                <a:spLocks noChangeAspect="1"/>
              </xdr:cNvSpPr>
            </xdr:nvSpPr>
            <xdr:spPr bwMode="auto">
              <a:xfrm>
                <a:off x="1681" y="1388"/>
                <a:ext cx="3" cy="15"/>
              </a:xfrm>
              <a:custGeom>
                <a:avLst/>
                <a:gdLst>
                  <a:gd name="T0" fmla="*/ 0 w 1"/>
                  <a:gd name="T1" fmla="*/ 0 h 32"/>
                  <a:gd name="T2" fmla="*/ 0 w 1"/>
                  <a:gd name="T3" fmla="*/ 7 h 32"/>
                  <a:gd name="T4" fmla="*/ 9 w 1"/>
                  <a:gd name="T5" fmla="*/ 7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0"/>
                    </a:moveTo>
                    <a:lnTo>
                      <a:pt x="0" y="32"/>
                    </a:lnTo>
                    <a:lnTo>
                      <a:pt x="1" y="3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8" name="Freeform 608"/>
              <xdr:cNvSpPr>
                <a:spLocks noChangeAspect="1"/>
              </xdr:cNvSpPr>
            </xdr:nvSpPr>
            <xdr:spPr bwMode="auto">
              <a:xfrm>
                <a:off x="1703" y="1388"/>
                <a:ext cx="0" cy="15"/>
              </a:xfrm>
              <a:custGeom>
                <a:avLst/>
                <a:gdLst>
                  <a:gd name="T0" fmla="*/ 0 w 2"/>
                  <a:gd name="T1" fmla="*/ 7 h 32"/>
                  <a:gd name="T2" fmla="*/ 0 w 2"/>
                  <a:gd name="T3" fmla="*/ 0 h 32"/>
                  <a:gd name="T4" fmla="*/ 1 w 2"/>
                  <a:gd name="T5" fmla="*/ 0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32">
                    <a:moveTo>
                      <a:pt x="0" y="32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9" name="Freeform 609"/>
              <xdr:cNvSpPr>
                <a:spLocks noChangeAspect="1"/>
              </xdr:cNvSpPr>
            </xdr:nvSpPr>
            <xdr:spPr bwMode="auto">
              <a:xfrm>
                <a:off x="1700" y="1403"/>
                <a:ext cx="0" cy="6"/>
              </a:xfrm>
              <a:custGeom>
                <a:avLst/>
                <a:gdLst>
                  <a:gd name="T0" fmla="*/ 0 w 1"/>
                  <a:gd name="T1" fmla="*/ 0 h 19"/>
                  <a:gd name="T2" fmla="*/ 0 w 1"/>
                  <a:gd name="T3" fmla="*/ 2 h 19"/>
                  <a:gd name="T4" fmla="*/ 1 w 1"/>
                  <a:gd name="T5" fmla="*/ 2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">
                    <a:moveTo>
                      <a:pt x="0" y="0"/>
                    </a:moveTo>
                    <a:lnTo>
                      <a:pt x="0" y="19"/>
                    </a:lnTo>
                    <a:lnTo>
                      <a:pt x="1" y="19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0" name="Freeform 610"/>
              <xdr:cNvSpPr>
                <a:spLocks noChangeAspect="1"/>
              </xdr:cNvSpPr>
            </xdr:nvSpPr>
            <xdr:spPr bwMode="auto">
              <a:xfrm>
                <a:off x="1681" y="1403"/>
                <a:ext cx="95" cy="0"/>
              </a:xfrm>
              <a:custGeom>
                <a:avLst/>
                <a:gdLst>
                  <a:gd name="T0" fmla="*/ 0 w 247"/>
                  <a:gd name="T1" fmla="*/ 37 w 247"/>
                  <a:gd name="T2" fmla="*/ 37 w 24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7">
                    <a:moveTo>
                      <a:pt x="0" y="0"/>
                    </a:moveTo>
                    <a:lnTo>
                      <a:pt x="246" y="0"/>
                    </a:lnTo>
                    <a:lnTo>
                      <a:pt x="2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1" name="Freeform 611"/>
              <xdr:cNvSpPr>
                <a:spLocks noChangeAspect="1"/>
              </xdr:cNvSpPr>
            </xdr:nvSpPr>
            <xdr:spPr bwMode="auto">
              <a:xfrm>
                <a:off x="1700" y="1409"/>
                <a:ext cx="3" cy="0"/>
              </a:xfrm>
              <a:custGeom>
                <a:avLst/>
                <a:gdLst>
                  <a:gd name="T0" fmla="*/ 0 w 8"/>
                  <a:gd name="T1" fmla="*/ 1 w 8"/>
                  <a:gd name="T2" fmla="*/ 1 w 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">
                    <a:moveTo>
                      <a:pt x="0" y="0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2" name="Freeform 612"/>
              <xdr:cNvSpPr>
                <a:spLocks noChangeAspect="1"/>
              </xdr:cNvSpPr>
            </xdr:nvSpPr>
            <xdr:spPr bwMode="auto">
              <a:xfrm>
                <a:off x="1757" y="1409"/>
                <a:ext cx="3" cy="0"/>
              </a:xfrm>
              <a:custGeom>
                <a:avLst/>
                <a:gdLst>
                  <a:gd name="T0" fmla="*/ 0 w 8"/>
                  <a:gd name="T1" fmla="*/ 1 w 8"/>
                  <a:gd name="T2" fmla="*/ 1 w 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">
                    <a:moveTo>
                      <a:pt x="0" y="0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3" name="Freeform 613"/>
              <xdr:cNvSpPr>
                <a:spLocks noChangeAspect="1"/>
              </xdr:cNvSpPr>
            </xdr:nvSpPr>
            <xdr:spPr bwMode="auto">
              <a:xfrm>
                <a:off x="1703" y="1409"/>
                <a:ext cx="54" cy="0"/>
              </a:xfrm>
              <a:custGeom>
                <a:avLst/>
                <a:gdLst>
                  <a:gd name="T0" fmla="*/ 0 w 143"/>
                  <a:gd name="T1" fmla="*/ 20 w 143"/>
                  <a:gd name="T2" fmla="*/ 20 w 14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43">
                    <a:moveTo>
                      <a:pt x="0" y="0"/>
                    </a:moveTo>
                    <a:lnTo>
                      <a:pt x="142" y="0"/>
                    </a:lnTo>
                    <a:lnTo>
                      <a:pt x="1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129" name="Freeform 614"/>
            <xdr:cNvSpPr>
              <a:spLocks noChangeAspect="1"/>
            </xdr:cNvSpPr>
          </xdr:nvSpPr>
          <xdr:spPr bwMode="auto">
            <a:xfrm>
              <a:off x="2600" y="1627"/>
              <a:ext cx="874" cy="0"/>
            </a:xfrm>
            <a:custGeom>
              <a:avLst/>
              <a:gdLst>
                <a:gd name="T0" fmla="*/ 0 w 2273"/>
                <a:gd name="T1" fmla="*/ 336 w 2273"/>
                <a:gd name="T2" fmla="*/ 336 w 2273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273">
                  <a:moveTo>
                    <a:pt x="0" y="0"/>
                  </a:moveTo>
                  <a:lnTo>
                    <a:pt x="2272" y="0"/>
                  </a:lnTo>
                  <a:lnTo>
                    <a:pt x="2273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130" name="Group 615"/>
            <xdr:cNvGrpSpPr>
              <a:grpSpLocks noChangeAspect="1"/>
            </xdr:cNvGrpSpPr>
          </xdr:nvGrpSpPr>
          <xdr:grpSpPr bwMode="auto">
            <a:xfrm>
              <a:off x="1213" y="3281"/>
              <a:ext cx="87" cy="217"/>
              <a:chOff x="1358" y="2299"/>
              <a:chExt cx="42" cy="105"/>
            </a:xfrm>
          </xdr:grpSpPr>
          <xdr:grpSp>
            <xdr:nvGrpSpPr>
              <xdr:cNvPr id="139" name="Group 616"/>
              <xdr:cNvGrpSpPr>
                <a:grpSpLocks noChangeAspect="1"/>
              </xdr:cNvGrpSpPr>
            </xdr:nvGrpSpPr>
            <xdr:grpSpPr bwMode="auto">
              <a:xfrm>
                <a:off x="1358" y="2362"/>
                <a:ext cx="41" cy="42"/>
                <a:chOff x="1358" y="2465"/>
                <a:chExt cx="41" cy="42"/>
              </a:xfrm>
            </xdr:grpSpPr>
            <xdr:sp macro="" textlink="">
              <xdr:nvSpPr>
                <xdr:cNvPr id="185" name="Freeform 617"/>
                <xdr:cNvSpPr>
                  <a:spLocks noChangeAspect="1"/>
                </xdr:cNvSpPr>
              </xdr:nvSpPr>
              <xdr:spPr bwMode="auto">
                <a:xfrm>
                  <a:off x="1360" y="2465"/>
                  <a:ext cx="37" cy="0"/>
                </a:xfrm>
                <a:custGeom>
                  <a:avLst/>
                  <a:gdLst>
                    <a:gd name="T0" fmla="*/ 5 w 300"/>
                    <a:gd name="T1" fmla="*/ 0 w 300"/>
                    <a:gd name="T2" fmla="*/ 0 w 300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300">
                      <a:moveTo>
                        <a:pt x="300" y="0"/>
                      </a:move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6" name="Freeform 618"/>
                <xdr:cNvSpPr>
                  <a:spLocks noChangeAspect="1"/>
                </xdr:cNvSpPr>
              </xdr:nvSpPr>
              <xdr:spPr bwMode="auto">
                <a:xfrm>
                  <a:off x="1367" y="2507"/>
                  <a:ext cx="23" cy="0"/>
                </a:xfrm>
                <a:custGeom>
                  <a:avLst/>
                  <a:gdLst>
                    <a:gd name="T0" fmla="*/ 3 w 181"/>
                    <a:gd name="T1" fmla="*/ 0 w 181"/>
                    <a:gd name="T2" fmla="*/ 0 w 181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181">
                      <a:moveTo>
                        <a:pt x="181" y="0"/>
                      </a:moveTo>
                      <a:lnTo>
                        <a:pt x="0" y="0"/>
                      </a:lnTo>
                      <a:lnTo>
                        <a:pt x="2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7" name="Freeform 619"/>
                <xdr:cNvSpPr>
                  <a:spLocks noChangeAspect="1"/>
                </xdr:cNvSpPr>
              </xdr:nvSpPr>
              <xdr:spPr bwMode="auto">
                <a:xfrm>
                  <a:off x="1390" y="2502"/>
                  <a:ext cx="5" cy="5"/>
                </a:xfrm>
                <a:custGeom>
                  <a:avLst/>
                  <a:gdLst>
                    <a:gd name="T0" fmla="*/ 0 w 39"/>
                    <a:gd name="T1" fmla="*/ 1 h 37"/>
                    <a:gd name="T2" fmla="*/ 0 w 39"/>
                    <a:gd name="T3" fmla="*/ 1 h 37"/>
                    <a:gd name="T4" fmla="*/ 1 w 39"/>
                    <a:gd name="T5" fmla="*/ 0 h 37"/>
                    <a:gd name="T6" fmla="*/ 1 w 39"/>
                    <a:gd name="T7" fmla="*/ 0 h 37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39" h="37">
                      <a:moveTo>
                        <a:pt x="0" y="37"/>
                      </a:moveTo>
                      <a:lnTo>
                        <a:pt x="27" y="27"/>
                      </a:lnTo>
                      <a:lnTo>
                        <a:pt x="38" y="0"/>
                      </a:lnTo>
                      <a:lnTo>
                        <a:pt x="39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8" name="Freeform 620"/>
                <xdr:cNvSpPr>
                  <a:spLocks noChangeAspect="1"/>
                </xdr:cNvSpPr>
              </xdr:nvSpPr>
              <xdr:spPr bwMode="auto">
                <a:xfrm>
                  <a:off x="1395" y="2477"/>
                  <a:ext cx="0" cy="25"/>
                </a:xfrm>
                <a:custGeom>
                  <a:avLst/>
                  <a:gdLst>
                    <a:gd name="T0" fmla="*/ 0 w 1"/>
                    <a:gd name="T1" fmla="*/ 0 h 172"/>
                    <a:gd name="T2" fmla="*/ 0 w 1"/>
                    <a:gd name="T3" fmla="*/ 4 h 172"/>
                    <a:gd name="T4" fmla="*/ 1 w 1"/>
                    <a:gd name="T5" fmla="*/ 4 h 1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172">
                      <a:moveTo>
                        <a:pt x="0" y="0"/>
                      </a:moveTo>
                      <a:lnTo>
                        <a:pt x="0" y="172"/>
                      </a:lnTo>
                      <a:lnTo>
                        <a:pt x="1" y="1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9" name="Freeform 621"/>
                <xdr:cNvSpPr>
                  <a:spLocks noChangeAspect="1"/>
                </xdr:cNvSpPr>
              </xdr:nvSpPr>
              <xdr:spPr bwMode="auto">
                <a:xfrm>
                  <a:off x="1399" y="2467"/>
                  <a:ext cx="0" cy="6"/>
                </a:xfrm>
                <a:custGeom>
                  <a:avLst/>
                  <a:gdLst>
                    <a:gd name="T0" fmla="*/ 0 w 1"/>
                    <a:gd name="T1" fmla="*/ 0 h 48"/>
                    <a:gd name="T2" fmla="*/ 0 w 1"/>
                    <a:gd name="T3" fmla="*/ 1 h 48"/>
                    <a:gd name="T4" fmla="*/ 1 w 1"/>
                    <a:gd name="T5" fmla="*/ 1 h 48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48">
                      <a:moveTo>
                        <a:pt x="0" y="0"/>
                      </a:moveTo>
                      <a:lnTo>
                        <a:pt x="0" y="48"/>
                      </a:lnTo>
                      <a:lnTo>
                        <a:pt x="1" y="48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" name="Freeform 622"/>
                <xdr:cNvSpPr>
                  <a:spLocks noChangeAspect="1"/>
                </xdr:cNvSpPr>
              </xdr:nvSpPr>
              <xdr:spPr bwMode="auto">
                <a:xfrm>
                  <a:off x="1395" y="2475"/>
                  <a:ext cx="1" cy="2"/>
                </a:xfrm>
                <a:custGeom>
                  <a:avLst/>
                  <a:gdLst>
                    <a:gd name="T0" fmla="*/ 0 w 13"/>
                    <a:gd name="T1" fmla="*/ 0 h 13"/>
                    <a:gd name="T2" fmla="*/ 0 w 13"/>
                    <a:gd name="T3" fmla="*/ 0 h 13"/>
                    <a:gd name="T4" fmla="*/ 0 w 13"/>
                    <a:gd name="T5" fmla="*/ 0 h 13"/>
                    <a:gd name="T6" fmla="*/ 0 w 13"/>
                    <a:gd name="T7" fmla="*/ 0 h 1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3">
                      <a:moveTo>
                        <a:pt x="13" y="0"/>
                      </a:moveTo>
                      <a:lnTo>
                        <a:pt x="4" y="4"/>
                      </a:lnTo>
                      <a:lnTo>
                        <a:pt x="0" y="13"/>
                      </a:lnTo>
                      <a:lnTo>
                        <a:pt x="1" y="13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1" name="Freeform 623"/>
                <xdr:cNvSpPr>
                  <a:spLocks noChangeAspect="1"/>
                </xdr:cNvSpPr>
              </xdr:nvSpPr>
              <xdr:spPr bwMode="auto">
                <a:xfrm>
                  <a:off x="1397" y="2473"/>
                  <a:ext cx="2" cy="2"/>
                </a:xfrm>
                <a:custGeom>
                  <a:avLst/>
                  <a:gdLst>
                    <a:gd name="T0" fmla="*/ 0 w 13"/>
                    <a:gd name="T1" fmla="*/ 0 h 12"/>
                    <a:gd name="T2" fmla="*/ 0 w 13"/>
                    <a:gd name="T3" fmla="*/ 0 h 12"/>
                    <a:gd name="T4" fmla="*/ 0 w 13"/>
                    <a:gd name="T5" fmla="*/ 0 h 12"/>
                    <a:gd name="T6" fmla="*/ 0 w 13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2">
                      <a:moveTo>
                        <a:pt x="0" y="12"/>
                      </a:moveTo>
                      <a:lnTo>
                        <a:pt x="8" y="8"/>
                      </a:lnTo>
                      <a:lnTo>
                        <a:pt x="12" y="0"/>
                      </a:lnTo>
                      <a:lnTo>
                        <a:pt x="13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2" name="Freeform 624"/>
                <xdr:cNvSpPr>
                  <a:spLocks noChangeAspect="1"/>
                </xdr:cNvSpPr>
              </xdr:nvSpPr>
              <xdr:spPr bwMode="auto">
                <a:xfrm>
                  <a:off x="1358" y="2473"/>
                  <a:ext cx="2" cy="2"/>
                </a:xfrm>
                <a:custGeom>
                  <a:avLst/>
                  <a:gdLst>
                    <a:gd name="T0" fmla="*/ 0 w 13"/>
                    <a:gd name="T1" fmla="*/ 0 h 12"/>
                    <a:gd name="T2" fmla="*/ 0 w 13"/>
                    <a:gd name="T3" fmla="*/ 0 h 12"/>
                    <a:gd name="T4" fmla="*/ 0 w 13"/>
                    <a:gd name="T5" fmla="*/ 0 h 12"/>
                    <a:gd name="T6" fmla="*/ 0 w 13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2">
                      <a:moveTo>
                        <a:pt x="0" y="0"/>
                      </a:moveTo>
                      <a:lnTo>
                        <a:pt x="3" y="8"/>
                      </a:lnTo>
                      <a:lnTo>
                        <a:pt x="12" y="12"/>
                      </a:lnTo>
                      <a:lnTo>
                        <a:pt x="13" y="1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3" name="Freeform 625"/>
                <xdr:cNvSpPr>
                  <a:spLocks noChangeAspect="1"/>
                </xdr:cNvSpPr>
              </xdr:nvSpPr>
              <xdr:spPr bwMode="auto">
                <a:xfrm>
                  <a:off x="1358" y="2467"/>
                  <a:ext cx="0" cy="6"/>
                </a:xfrm>
                <a:custGeom>
                  <a:avLst/>
                  <a:gdLst>
                    <a:gd name="T0" fmla="*/ 0 w 1"/>
                    <a:gd name="T1" fmla="*/ 0 h 48"/>
                    <a:gd name="T2" fmla="*/ 0 w 1"/>
                    <a:gd name="T3" fmla="*/ 1 h 48"/>
                    <a:gd name="T4" fmla="*/ 1 w 1"/>
                    <a:gd name="T5" fmla="*/ 1 h 48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48">
                      <a:moveTo>
                        <a:pt x="0" y="0"/>
                      </a:moveTo>
                      <a:lnTo>
                        <a:pt x="0" y="48"/>
                      </a:lnTo>
                      <a:lnTo>
                        <a:pt x="1" y="48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4" name="Freeform 626"/>
                <xdr:cNvSpPr>
                  <a:spLocks noChangeAspect="1"/>
                </xdr:cNvSpPr>
              </xdr:nvSpPr>
              <xdr:spPr bwMode="auto">
                <a:xfrm>
                  <a:off x="1362" y="2477"/>
                  <a:ext cx="1" cy="25"/>
                </a:xfrm>
                <a:custGeom>
                  <a:avLst/>
                  <a:gdLst>
                    <a:gd name="T0" fmla="*/ 0 w 1"/>
                    <a:gd name="T1" fmla="*/ 0 h 172"/>
                    <a:gd name="T2" fmla="*/ 0 w 1"/>
                    <a:gd name="T3" fmla="*/ 4 h 172"/>
                    <a:gd name="T4" fmla="*/ 1 w 1"/>
                    <a:gd name="T5" fmla="*/ 4 h 1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172">
                      <a:moveTo>
                        <a:pt x="0" y="0"/>
                      </a:moveTo>
                      <a:lnTo>
                        <a:pt x="0" y="172"/>
                      </a:lnTo>
                      <a:lnTo>
                        <a:pt x="1" y="1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5" name="Freeform 627"/>
                <xdr:cNvSpPr>
                  <a:spLocks noChangeAspect="1"/>
                </xdr:cNvSpPr>
              </xdr:nvSpPr>
              <xdr:spPr bwMode="auto">
                <a:xfrm>
                  <a:off x="1361" y="2475"/>
                  <a:ext cx="1" cy="2"/>
                </a:xfrm>
                <a:custGeom>
                  <a:avLst/>
                  <a:gdLst>
                    <a:gd name="T0" fmla="*/ 0 w 13"/>
                    <a:gd name="T1" fmla="*/ 0 h 13"/>
                    <a:gd name="T2" fmla="*/ 0 w 13"/>
                    <a:gd name="T3" fmla="*/ 0 h 13"/>
                    <a:gd name="T4" fmla="*/ 0 w 13"/>
                    <a:gd name="T5" fmla="*/ 0 h 13"/>
                    <a:gd name="T6" fmla="*/ 0 w 13"/>
                    <a:gd name="T7" fmla="*/ 0 h 1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3">
                      <a:moveTo>
                        <a:pt x="13" y="13"/>
                      </a:moveTo>
                      <a:lnTo>
                        <a:pt x="8" y="4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6" name="Freeform 628"/>
                <xdr:cNvSpPr>
                  <a:spLocks noChangeAspect="1"/>
                </xdr:cNvSpPr>
              </xdr:nvSpPr>
              <xdr:spPr bwMode="auto">
                <a:xfrm>
                  <a:off x="1360" y="2475"/>
                  <a:ext cx="37" cy="0"/>
                </a:xfrm>
                <a:custGeom>
                  <a:avLst/>
                  <a:gdLst>
                    <a:gd name="T0" fmla="*/ 5 w 300"/>
                    <a:gd name="T1" fmla="*/ 0 w 300"/>
                    <a:gd name="T2" fmla="*/ 0 w 300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300">
                      <a:moveTo>
                        <a:pt x="300" y="0"/>
                      </a:move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7" name="Freeform 629"/>
                <xdr:cNvSpPr>
                  <a:spLocks noChangeAspect="1"/>
                </xdr:cNvSpPr>
              </xdr:nvSpPr>
              <xdr:spPr bwMode="auto">
                <a:xfrm>
                  <a:off x="1362" y="2502"/>
                  <a:ext cx="5" cy="5"/>
                </a:xfrm>
                <a:custGeom>
                  <a:avLst/>
                  <a:gdLst>
                    <a:gd name="T0" fmla="*/ 0 w 39"/>
                    <a:gd name="T1" fmla="*/ 0 h 37"/>
                    <a:gd name="T2" fmla="*/ 0 w 39"/>
                    <a:gd name="T3" fmla="*/ 1 h 37"/>
                    <a:gd name="T4" fmla="*/ 1 w 39"/>
                    <a:gd name="T5" fmla="*/ 1 h 37"/>
                    <a:gd name="T6" fmla="*/ 1 w 39"/>
                    <a:gd name="T7" fmla="*/ 1 h 37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39" h="37">
                      <a:moveTo>
                        <a:pt x="0" y="0"/>
                      </a:moveTo>
                      <a:lnTo>
                        <a:pt x="10" y="27"/>
                      </a:lnTo>
                      <a:lnTo>
                        <a:pt x="37" y="37"/>
                      </a:lnTo>
                      <a:lnTo>
                        <a:pt x="39" y="37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" name="Freeform 630"/>
                <xdr:cNvSpPr>
                  <a:spLocks noChangeAspect="1"/>
                </xdr:cNvSpPr>
              </xdr:nvSpPr>
              <xdr:spPr bwMode="auto">
                <a:xfrm>
                  <a:off x="1358" y="2465"/>
                  <a:ext cx="2" cy="2"/>
                </a:xfrm>
                <a:custGeom>
                  <a:avLst/>
                  <a:gdLst>
                    <a:gd name="T0" fmla="*/ 0 w 12"/>
                    <a:gd name="T1" fmla="*/ 0 h 12"/>
                    <a:gd name="T2" fmla="*/ 0 w 12"/>
                    <a:gd name="T3" fmla="*/ 0 h 12"/>
                    <a:gd name="T4" fmla="*/ 0 w 12"/>
                    <a:gd name="T5" fmla="*/ 0 h 12"/>
                    <a:gd name="T6" fmla="*/ 0 w 12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2" h="12">
                      <a:moveTo>
                        <a:pt x="12" y="0"/>
                      </a:moveTo>
                      <a:lnTo>
                        <a:pt x="3" y="3"/>
                      </a:lnTo>
                      <a:lnTo>
                        <a:pt x="0" y="12"/>
                      </a:lnTo>
                      <a:lnTo>
                        <a:pt x="1" y="1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" name="Freeform 631"/>
                <xdr:cNvSpPr>
                  <a:spLocks noChangeAspect="1"/>
                </xdr:cNvSpPr>
              </xdr:nvSpPr>
              <xdr:spPr bwMode="auto">
                <a:xfrm>
                  <a:off x="1367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0" name="Freeform 632"/>
                <xdr:cNvSpPr>
                  <a:spLocks noChangeAspect="1"/>
                </xdr:cNvSpPr>
              </xdr:nvSpPr>
              <xdr:spPr bwMode="auto">
                <a:xfrm>
                  <a:off x="1364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1" name="Freeform 633"/>
                <xdr:cNvSpPr>
                  <a:spLocks noChangeAspect="1"/>
                </xdr:cNvSpPr>
              </xdr:nvSpPr>
              <xdr:spPr bwMode="auto">
                <a:xfrm>
                  <a:off x="1377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2" name="Freeform 634"/>
                <xdr:cNvSpPr>
                  <a:spLocks noChangeAspect="1"/>
                </xdr:cNvSpPr>
              </xdr:nvSpPr>
              <xdr:spPr bwMode="auto">
                <a:xfrm>
                  <a:off x="1380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3" name="Freeform 635"/>
                <xdr:cNvSpPr>
                  <a:spLocks noChangeAspect="1"/>
                </xdr:cNvSpPr>
              </xdr:nvSpPr>
              <xdr:spPr bwMode="auto">
                <a:xfrm>
                  <a:off x="1390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4" name="Freeform 636"/>
                <xdr:cNvSpPr>
                  <a:spLocks noChangeAspect="1"/>
                </xdr:cNvSpPr>
              </xdr:nvSpPr>
              <xdr:spPr bwMode="auto">
                <a:xfrm>
                  <a:off x="1393" y="2465"/>
                  <a:ext cx="0" cy="10"/>
                </a:xfrm>
                <a:custGeom>
                  <a:avLst/>
                  <a:gdLst>
                    <a:gd name="T0" fmla="*/ 0 w 2"/>
                    <a:gd name="T1" fmla="*/ 0 h 72"/>
                    <a:gd name="T2" fmla="*/ 0 w 2"/>
                    <a:gd name="T3" fmla="*/ 1 h 72"/>
                    <a:gd name="T4" fmla="*/ 1 w 2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2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2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5" name="Freeform 637"/>
                <xdr:cNvSpPr>
                  <a:spLocks noChangeAspect="1"/>
                </xdr:cNvSpPr>
              </xdr:nvSpPr>
              <xdr:spPr bwMode="auto">
                <a:xfrm>
                  <a:off x="1397" y="2465"/>
                  <a:ext cx="2" cy="2"/>
                </a:xfrm>
                <a:custGeom>
                  <a:avLst/>
                  <a:gdLst>
                    <a:gd name="T0" fmla="*/ 0 w 12"/>
                    <a:gd name="T1" fmla="*/ 0 h 12"/>
                    <a:gd name="T2" fmla="*/ 0 w 12"/>
                    <a:gd name="T3" fmla="*/ 0 h 12"/>
                    <a:gd name="T4" fmla="*/ 0 w 12"/>
                    <a:gd name="T5" fmla="*/ 0 h 12"/>
                    <a:gd name="T6" fmla="*/ 0 w 12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2" h="12">
                      <a:moveTo>
                        <a:pt x="12" y="12"/>
                      </a:moveTo>
                      <a:lnTo>
                        <a:pt x="8" y="3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sp macro="" textlink="">
            <xdr:nvSpPr>
              <xdr:cNvPr id="140" name="Freeform 638"/>
              <xdr:cNvSpPr>
                <a:spLocks noChangeAspect="1"/>
              </xdr:cNvSpPr>
            </xdr:nvSpPr>
            <xdr:spPr bwMode="auto">
              <a:xfrm>
                <a:off x="1368" y="2300"/>
                <a:ext cx="21" cy="0"/>
              </a:xfrm>
              <a:custGeom>
                <a:avLst/>
                <a:gdLst>
                  <a:gd name="T0" fmla="*/ 3 w 166"/>
                  <a:gd name="T1" fmla="*/ 0 w 166"/>
                  <a:gd name="T2" fmla="*/ 0 w 16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66">
                    <a:moveTo>
                      <a:pt x="16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1" name="Freeform 639"/>
              <xdr:cNvSpPr>
                <a:spLocks noChangeAspect="1"/>
              </xdr:cNvSpPr>
            </xdr:nvSpPr>
            <xdr:spPr bwMode="auto">
              <a:xfrm>
                <a:off x="1368" y="2306"/>
                <a:ext cx="21" cy="0"/>
              </a:xfrm>
              <a:custGeom>
                <a:avLst/>
                <a:gdLst>
                  <a:gd name="T0" fmla="*/ 3 w 166"/>
                  <a:gd name="T1" fmla="*/ 0 w 166"/>
                  <a:gd name="T2" fmla="*/ 0 w 16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66">
                    <a:moveTo>
                      <a:pt x="16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2" name="Freeform 640"/>
              <xdr:cNvSpPr>
                <a:spLocks noChangeAspect="1"/>
              </xdr:cNvSpPr>
            </xdr:nvSpPr>
            <xdr:spPr bwMode="auto">
              <a:xfrm>
                <a:off x="1368" y="2299"/>
                <a:ext cx="0" cy="9"/>
              </a:xfrm>
              <a:custGeom>
                <a:avLst/>
                <a:gdLst>
                  <a:gd name="T0" fmla="*/ 0 w 1"/>
                  <a:gd name="T1" fmla="*/ 1 h 63"/>
                  <a:gd name="T2" fmla="*/ 0 w 1"/>
                  <a:gd name="T3" fmla="*/ 0 h 63"/>
                  <a:gd name="T4" fmla="*/ 1 w 1"/>
                  <a:gd name="T5" fmla="*/ 0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6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3" name="Freeform 641"/>
              <xdr:cNvSpPr>
                <a:spLocks noChangeAspect="1"/>
              </xdr:cNvSpPr>
            </xdr:nvSpPr>
            <xdr:spPr bwMode="auto">
              <a:xfrm>
                <a:off x="1393" y="2316"/>
                <a:ext cx="0" cy="11"/>
              </a:xfrm>
              <a:custGeom>
                <a:avLst/>
                <a:gdLst>
                  <a:gd name="T0" fmla="*/ 0 w 2"/>
                  <a:gd name="T1" fmla="*/ 2 h 73"/>
                  <a:gd name="T2" fmla="*/ 0 w 2"/>
                  <a:gd name="T3" fmla="*/ 0 h 73"/>
                  <a:gd name="T4" fmla="*/ 1 w 2"/>
                  <a:gd name="T5" fmla="*/ 0 h 7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73">
                    <a:moveTo>
                      <a:pt x="0" y="73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4" name="Freeform 642"/>
              <xdr:cNvSpPr>
                <a:spLocks noChangeAspect="1"/>
              </xdr:cNvSpPr>
            </xdr:nvSpPr>
            <xdr:spPr bwMode="auto">
              <a:xfrm>
                <a:off x="1393" y="2370"/>
                <a:ext cx="2" cy="2"/>
              </a:xfrm>
              <a:custGeom>
                <a:avLst/>
                <a:gdLst>
                  <a:gd name="T0" fmla="*/ 0 w 14"/>
                  <a:gd name="T1" fmla="*/ 0 h 12"/>
                  <a:gd name="T2" fmla="*/ 0 w 14"/>
                  <a:gd name="T3" fmla="*/ 0 h 12"/>
                  <a:gd name="T4" fmla="*/ 0 w 14"/>
                  <a:gd name="T5" fmla="*/ 0 h 12"/>
                  <a:gd name="T6" fmla="*/ 0 w 14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" h="12">
                    <a:moveTo>
                      <a:pt x="0" y="12"/>
                    </a:moveTo>
                    <a:lnTo>
                      <a:pt x="10" y="9"/>
                    </a:lnTo>
                    <a:lnTo>
                      <a:pt x="13" y="0"/>
                    </a:lnTo>
                    <a:lnTo>
                      <a:pt x="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5" name="Freeform 643"/>
              <xdr:cNvSpPr>
                <a:spLocks noChangeAspect="1"/>
              </xdr:cNvSpPr>
            </xdr:nvSpPr>
            <xdr:spPr bwMode="auto">
              <a:xfrm>
                <a:off x="1393" y="2328"/>
                <a:ext cx="0" cy="8"/>
              </a:xfrm>
              <a:custGeom>
                <a:avLst/>
                <a:gdLst>
                  <a:gd name="T0" fmla="*/ 0 w 2"/>
                  <a:gd name="T1" fmla="*/ 1 h 53"/>
                  <a:gd name="T2" fmla="*/ 0 w 2"/>
                  <a:gd name="T3" fmla="*/ 0 h 53"/>
                  <a:gd name="T4" fmla="*/ 1 w 2"/>
                  <a:gd name="T5" fmla="*/ 0 h 5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53">
                    <a:moveTo>
                      <a:pt x="0" y="53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6" name="Freeform 644"/>
              <xdr:cNvSpPr>
                <a:spLocks noChangeAspect="1"/>
              </xdr:cNvSpPr>
            </xdr:nvSpPr>
            <xdr:spPr bwMode="auto">
              <a:xfrm>
                <a:off x="1393" y="2337"/>
                <a:ext cx="0" cy="13"/>
              </a:xfrm>
              <a:custGeom>
                <a:avLst/>
                <a:gdLst>
                  <a:gd name="T0" fmla="*/ 0 w 2"/>
                  <a:gd name="T1" fmla="*/ 2 h 92"/>
                  <a:gd name="T2" fmla="*/ 0 w 2"/>
                  <a:gd name="T3" fmla="*/ 0 h 92"/>
                  <a:gd name="T4" fmla="*/ 1 w 2"/>
                  <a:gd name="T5" fmla="*/ 0 h 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92">
                    <a:moveTo>
                      <a:pt x="0" y="92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7" name="Freeform 645"/>
              <xdr:cNvSpPr>
                <a:spLocks noChangeAspect="1"/>
              </xdr:cNvSpPr>
            </xdr:nvSpPr>
            <xdr:spPr bwMode="auto">
              <a:xfrm>
                <a:off x="1393" y="2352"/>
                <a:ext cx="0" cy="9"/>
              </a:xfrm>
              <a:custGeom>
                <a:avLst/>
                <a:gdLst>
                  <a:gd name="T0" fmla="*/ 0 w 2"/>
                  <a:gd name="T1" fmla="*/ 1 h 61"/>
                  <a:gd name="T2" fmla="*/ 0 w 2"/>
                  <a:gd name="T3" fmla="*/ 0 h 61"/>
                  <a:gd name="T4" fmla="*/ 1 w 2"/>
                  <a:gd name="T5" fmla="*/ 0 h 6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61">
                    <a:moveTo>
                      <a:pt x="0" y="61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8" name="Freeform 646"/>
              <xdr:cNvSpPr>
                <a:spLocks noChangeAspect="1"/>
              </xdr:cNvSpPr>
            </xdr:nvSpPr>
            <xdr:spPr bwMode="auto">
              <a:xfrm>
                <a:off x="1398" y="2325"/>
                <a:ext cx="0" cy="28"/>
              </a:xfrm>
              <a:custGeom>
                <a:avLst/>
                <a:gdLst>
                  <a:gd name="T0" fmla="*/ 0 w 1"/>
                  <a:gd name="T1" fmla="*/ 0 h 196"/>
                  <a:gd name="T2" fmla="*/ 0 w 1"/>
                  <a:gd name="T3" fmla="*/ 4 h 196"/>
                  <a:gd name="T4" fmla="*/ 1 w 1"/>
                  <a:gd name="T5" fmla="*/ 4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0"/>
                    </a:moveTo>
                    <a:lnTo>
                      <a:pt x="0" y="196"/>
                    </a:lnTo>
                    <a:lnTo>
                      <a:pt x="1" y="19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9" name="Freeform 647"/>
              <xdr:cNvSpPr>
                <a:spLocks noChangeAspect="1"/>
              </xdr:cNvSpPr>
            </xdr:nvSpPr>
            <xdr:spPr bwMode="auto">
              <a:xfrm>
                <a:off x="1395" y="2325"/>
                <a:ext cx="0" cy="28"/>
              </a:xfrm>
              <a:custGeom>
                <a:avLst/>
                <a:gdLst>
                  <a:gd name="T0" fmla="*/ 0 w 1"/>
                  <a:gd name="T1" fmla="*/ 4 h 196"/>
                  <a:gd name="T2" fmla="*/ 0 w 1"/>
                  <a:gd name="T3" fmla="*/ 0 h 196"/>
                  <a:gd name="T4" fmla="*/ 1 w 1"/>
                  <a:gd name="T5" fmla="*/ 0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19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0" name="Freeform 648"/>
              <xdr:cNvSpPr>
                <a:spLocks noChangeAspect="1"/>
              </xdr:cNvSpPr>
            </xdr:nvSpPr>
            <xdr:spPr bwMode="auto">
              <a:xfrm>
                <a:off x="1398" y="2325"/>
                <a:ext cx="0" cy="28"/>
              </a:xfrm>
              <a:custGeom>
                <a:avLst/>
                <a:gdLst>
                  <a:gd name="T0" fmla="*/ 0 w 1"/>
                  <a:gd name="T1" fmla="*/ 4 h 196"/>
                  <a:gd name="T2" fmla="*/ 0 w 1"/>
                  <a:gd name="T3" fmla="*/ 0 h 196"/>
                  <a:gd name="T4" fmla="*/ 1 w 1"/>
                  <a:gd name="T5" fmla="*/ 0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19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1" name="Freeform 649"/>
              <xdr:cNvSpPr>
                <a:spLocks noChangeAspect="1"/>
              </xdr:cNvSpPr>
            </xdr:nvSpPr>
            <xdr:spPr bwMode="auto">
              <a:xfrm>
                <a:off x="1400" y="2326"/>
                <a:ext cx="0" cy="27"/>
              </a:xfrm>
              <a:custGeom>
                <a:avLst/>
                <a:gdLst>
                  <a:gd name="T0" fmla="*/ 0 w 1"/>
                  <a:gd name="T1" fmla="*/ 0 h 192"/>
                  <a:gd name="T2" fmla="*/ 0 w 1"/>
                  <a:gd name="T3" fmla="*/ 4 h 192"/>
                  <a:gd name="T4" fmla="*/ 1 w 1"/>
                  <a:gd name="T5" fmla="*/ 4 h 1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2">
                    <a:moveTo>
                      <a:pt x="0" y="0"/>
                    </a:moveTo>
                    <a:lnTo>
                      <a:pt x="0" y="192"/>
                    </a:lnTo>
                    <a:lnTo>
                      <a:pt x="1" y="19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2" name="Freeform 650"/>
              <xdr:cNvSpPr>
                <a:spLocks noChangeAspect="1"/>
              </xdr:cNvSpPr>
            </xdr:nvSpPr>
            <xdr:spPr bwMode="auto">
              <a:xfrm>
                <a:off x="1395" y="2353"/>
                <a:ext cx="3" cy="0"/>
              </a:xfrm>
              <a:custGeom>
                <a:avLst/>
                <a:gdLst>
                  <a:gd name="T0" fmla="*/ 0 w 25"/>
                  <a:gd name="T1" fmla="*/ 0 w 25"/>
                  <a:gd name="T2" fmla="*/ 0 w 25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">
                    <a:moveTo>
                      <a:pt x="25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3" name="Freeform 651"/>
              <xdr:cNvSpPr>
                <a:spLocks noChangeAspect="1"/>
              </xdr:cNvSpPr>
            </xdr:nvSpPr>
            <xdr:spPr bwMode="auto">
              <a:xfrm>
                <a:off x="1398" y="2349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4" name="Freeform 652"/>
              <xdr:cNvSpPr>
                <a:spLocks noChangeAspect="1"/>
              </xdr:cNvSpPr>
            </xdr:nvSpPr>
            <xdr:spPr bwMode="auto">
              <a:xfrm>
                <a:off x="1395" y="2361"/>
                <a:ext cx="0" cy="9"/>
              </a:xfrm>
              <a:custGeom>
                <a:avLst/>
                <a:gdLst>
                  <a:gd name="T0" fmla="*/ 0 w 1"/>
                  <a:gd name="T1" fmla="*/ 0 h 66"/>
                  <a:gd name="T2" fmla="*/ 0 w 1"/>
                  <a:gd name="T3" fmla="*/ 1 h 66"/>
                  <a:gd name="T4" fmla="*/ 1 w 1"/>
                  <a:gd name="T5" fmla="*/ 1 h 6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6">
                    <a:moveTo>
                      <a:pt x="0" y="0"/>
                    </a:moveTo>
                    <a:lnTo>
                      <a:pt x="0" y="66"/>
                    </a:lnTo>
                    <a:lnTo>
                      <a:pt x="1" y="6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5" name="Freeform 653"/>
              <xdr:cNvSpPr>
                <a:spLocks noChangeAspect="1"/>
              </xdr:cNvSpPr>
            </xdr:nvSpPr>
            <xdr:spPr bwMode="auto">
              <a:xfrm>
                <a:off x="1395" y="2325"/>
                <a:ext cx="3" cy="0"/>
              </a:xfrm>
              <a:custGeom>
                <a:avLst/>
                <a:gdLst>
                  <a:gd name="T0" fmla="*/ 0 w 26"/>
                  <a:gd name="T1" fmla="*/ 0 w 26"/>
                  <a:gd name="T2" fmla="*/ 0 w 2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">
                    <a:moveTo>
                      <a:pt x="0" y="0"/>
                    </a:moveTo>
                    <a:lnTo>
                      <a:pt x="25" y="0"/>
                    </a:lnTo>
                    <a:lnTo>
                      <a:pt x="2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6" name="Freeform 654"/>
              <xdr:cNvSpPr>
                <a:spLocks noChangeAspect="1"/>
              </xdr:cNvSpPr>
            </xdr:nvSpPr>
            <xdr:spPr bwMode="auto">
              <a:xfrm>
                <a:off x="1398" y="2330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7" name="Freeform 655"/>
              <xdr:cNvSpPr>
                <a:spLocks noChangeAspect="1"/>
              </xdr:cNvSpPr>
            </xdr:nvSpPr>
            <xdr:spPr bwMode="auto">
              <a:xfrm>
                <a:off x="1370" y="2308"/>
                <a:ext cx="0" cy="6"/>
              </a:xfrm>
              <a:custGeom>
                <a:avLst/>
                <a:gdLst>
                  <a:gd name="T0" fmla="*/ 0 w 1"/>
                  <a:gd name="T1" fmla="*/ 1 h 44"/>
                  <a:gd name="T2" fmla="*/ 0 w 1"/>
                  <a:gd name="T3" fmla="*/ 0 h 44"/>
                  <a:gd name="T4" fmla="*/ 1 w 1"/>
                  <a:gd name="T5" fmla="*/ 0 h 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4">
                    <a:moveTo>
                      <a:pt x="0" y="4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8" name="Freeform 656"/>
              <xdr:cNvSpPr>
                <a:spLocks noChangeAspect="1"/>
              </xdr:cNvSpPr>
            </xdr:nvSpPr>
            <xdr:spPr bwMode="auto">
              <a:xfrm>
                <a:off x="1392" y="2314"/>
                <a:ext cx="1" cy="2"/>
              </a:xfrm>
              <a:custGeom>
                <a:avLst/>
                <a:gdLst>
                  <a:gd name="T0" fmla="*/ 0 w 11"/>
                  <a:gd name="T1" fmla="*/ 0 h 14"/>
                  <a:gd name="T2" fmla="*/ 0 w 11"/>
                  <a:gd name="T3" fmla="*/ 0 h 14"/>
                  <a:gd name="T4" fmla="*/ 0 w 11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4">
                    <a:moveTo>
                      <a:pt x="11" y="1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9" name="Freeform 657"/>
              <xdr:cNvSpPr>
                <a:spLocks noChangeAspect="1"/>
              </xdr:cNvSpPr>
            </xdr:nvSpPr>
            <xdr:spPr bwMode="auto">
              <a:xfrm>
                <a:off x="1387" y="2308"/>
                <a:ext cx="0" cy="6"/>
              </a:xfrm>
              <a:custGeom>
                <a:avLst/>
                <a:gdLst>
                  <a:gd name="T0" fmla="*/ 0 w 1"/>
                  <a:gd name="T1" fmla="*/ 1 h 44"/>
                  <a:gd name="T2" fmla="*/ 0 w 1"/>
                  <a:gd name="T3" fmla="*/ 0 h 44"/>
                  <a:gd name="T4" fmla="*/ 1 w 1"/>
                  <a:gd name="T5" fmla="*/ 0 h 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4">
                    <a:moveTo>
                      <a:pt x="0" y="4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0" name="Freeform 658"/>
              <xdr:cNvSpPr>
                <a:spLocks noChangeAspect="1"/>
              </xdr:cNvSpPr>
            </xdr:nvSpPr>
            <xdr:spPr bwMode="auto">
              <a:xfrm>
                <a:off x="1389" y="2299"/>
                <a:ext cx="0" cy="9"/>
              </a:xfrm>
              <a:custGeom>
                <a:avLst/>
                <a:gdLst>
                  <a:gd name="T0" fmla="*/ 0 w 1"/>
                  <a:gd name="T1" fmla="*/ 1 h 63"/>
                  <a:gd name="T2" fmla="*/ 0 w 1"/>
                  <a:gd name="T3" fmla="*/ 0 h 63"/>
                  <a:gd name="T4" fmla="*/ 1 w 1"/>
                  <a:gd name="T5" fmla="*/ 0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6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1" name="Freeform 659"/>
              <xdr:cNvSpPr>
                <a:spLocks noChangeAspect="1"/>
              </xdr:cNvSpPr>
            </xdr:nvSpPr>
            <xdr:spPr bwMode="auto">
              <a:xfrm>
                <a:off x="1364" y="2316"/>
                <a:ext cx="0" cy="11"/>
              </a:xfrm>
              <a:custGeom>
                <a:avLst/>
                <a:gdLst>
                  <a:gd name="T0" fmla="*/ 0 w 1"/>
                  <a:gd name="T1" fmla="*/ 2 h 73"/>
                  <a:gd name="T2" fmla="*/ 0 w 1"/>
                  <a:gd name="T3" fmla="*/ 0 h 73"/>
                  <a:gd name="T4" fmla="*/ 1 w 1"/>
                  <a:gd name="T5" fmla="*/ 0 h 7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73">
                    <a:moveTo>
                      <a:pt x="0" y="7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2" name="Freeform 660"/>
              <xdr:cNvSpPr>
                <a:spLocks noChangeAspect="1"/>
              </xdr:cNvSpPr>
            </xdr:nvSpPr>
            <xdr:spPr bwMode="auto">
              <a:xfrm>
                <a:off x="1364" y="2328"/>
                <a:ext cx="0" cy="8"/>
              </a:xfrm>
              <a:custGeom>
                <a:avLst/>
                <a:gdLst>
                  <a:gd name="T0" fmla="*/ 0 w 1"/>
                  <a:gd name="T1" fmla="*/ 1 h 53"/>
                  <a:gd name="T2" fmla="*/ 0 w 1"/>
                  <a:gd name="T3" fmla="*/ 0 h 53"/>
                  <a:gd name="T4" fmla="*/ 1 w 1"/>
                  <a:gd name="T5" fmla="*/ 0 h 5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3">
                    <a:moveTo>
                      <a:pt x="0" y="5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3" name="Freeform 661"/>
              <xdr:cNvSpPr>
                <a:spLocks noChangeAspect="1"/>
              </xdr:cNvSpPr>
            </xdr:nvSpPr>
            <xdr:spPr bwMode="auto">
              <a:xfrm>
                <a:off x="1364" y="2337"/>
                <a:ext cx="0" cy="13"/>
              </a:xfrm>
              <a:custGeom>
                <a:avLst/>
                <a:gdLst>
                  <a:gd name="T0" fmla="*/ 0 w 1"/>
                  <a:gd name="T1" fmla="*/ 2 h 92"/>
                  <a:gd name="T2" fmla="*/ 0 w 1"/>
                  <a:gd name="T3" fmla="*/ 0 h 92"/>
                  <a:gd name="T4" fmla="*/ 1 w 1"/>
                  <a:gd name="T5" fmla="*/ 0 h 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2">
                    <a:moveTo>
                      <a:pt x="0" y="9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4" name="Freeform 662"/>
              <xdr:cNvSpPr>
                <a:spLocks noChangeAspect="1"/>
              </xdr:cNvSpPr>
            </xdr:nvSpPr>
            <xdr:spPr bwMode="auto">
              <a:xfrm>
                <a:off x="1363" y="2336"/>
                <a:ext cx="0" cy="1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5" name="Freeform 663"/>
              <xdr:cNvSpPr>
                <a:spLocks noChangeAspect="1"/>
              </xdr:cNvSpPr>
            </xdr:nvSpPr>
            <xdr:spPr bwMode="auto">
              <a:xfrm>
                <a:off x="1364" y="2352"/>
                <a:ext cx="0" cy="9"/>
              </a:xfrm>
              <a:custGeom>
                <a:avLst/>
                <a:gdLst>
                  <a:gd name="T0" fmla="*/ 0 w 1"/>
                  <a:gd name="T1" fmla="*/ 1 h 61"/>
                  <a:gd name="T2" fmla="*/ 0 w 1"/>
                  <a:gd name="T3" fmla="*/ 0 h 61"/>
                  <a:gd name="T4" fmla="*/ 1 w 1"/>
                  <a:gd name="T5" fmla="*/ 0 h 6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1">
                    <a:moveTo>
                      <a:pt x="0" y="6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6" name="Freeform 664"/>
              <xdr:cNvSpPr>
                <a:spLocks noChangeAspect="1"/>
              </xdr:cNvSpPr>
            </xdr:nvSpPr>
            <xdr:spPr bwMode="auto">
              <a:xfrm>
                <a:off x="1362" y="2361"/>
                <a:ext cx="0" cy="9"/>
              </a:xfrm>
              <a:custGeom>
                <a:avLst/>
                <a:gdLst>
                  <a:gd name="T0" fmla="*/ 0 w 1"/>
                  <a:gd name="T1" fmla="*/ 0 h 66"/>
                  <a:gd name="T2" fmla="*/ 0 w 1"/>
                  <a:gd name="T3" fmla="*/ 1 h 66"/>
                  <a:gd name="T4" fmla="*/ 1 w 1"/>
                  <a:gd name="T5" fmla="*/ 1 h 6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6">
                    <a:moveTo>
                      <a:pt x="0" y="0"/>
                    </a:moveTo>
                    <a:lnTo>
                      <a:pt x="0" y="66"/>
                    </a:lnTo>
                    <a:lnTo>
                      <a:pt x="1" y="6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7" name="Freeform 665"/>
              <xdr:cNvSpPr>
                <a:spLocks noChangeAspect="1"/>
              </xdr:cNvSpPr>
            </xdr:nvSpPr>
            <xdr:spPr bwMode="auto">
              <a:xfrm>
                <a:off x="1362" y="2370"/>
                <a:ext cx="2" cy="2"/>
              </a:xfrm>
              <a:custGeom>
                <a:avLst/>
                <a:gdLst>
                  <a:gd name="T0" fmla="*/ 0 w 14"/>
                  <a:gd name="T1" fmla="*/ 0 h 12"/>
                  <a:gd name="T2" fmla="*/ 0 w 14"/>
                  <a:gd name="T3" fmla="*/ 0 h 12"/>
                  <a:gd name="T4" fmla="*/ 0 w 14"/>
                  <a:gd name="T5" fmla="*/ 0 h 12"/>
                  <a:gd name="T6" fmla="*/ 0 w 14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" h="12">
                    <a:moveTo>
                      <a:pt x="0" y="0"/>
                    </a:moveTo>
                    <a:lnTo>
                      <a:pt x="4" y="9"/>
                    </a:lnTo>
                    <a:lnTo>
                      <a:pt x="13" y="12"/>
                    </a:lnTo>
                    <a:lnTo>
                      <a:pt x="14" y="1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8" name="Freeform 666"/>
              <xdr:cNvSpPr>
                <a:spLocks noChangeAspect="1"/>
              </xdr:cNvSpPr>
            </xdr:nvSpPr>
            <xdr:spPr bwMode="auto">
              <a:xfrm>
                <a:off x="1363" y="2350"/>
                <a:ext cx="0" cy="2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9" name="Freeform 667"/>
              <xdr:cNvSpPr>
                <a:spLocks noChangeAspect="1"/>
              </xdr:cNvSpPr>
            </xdr:nvSpPr>
            <xdr:spPr bwMode="auto">
              <a:xfrm>
                <a:off x="1363" y="2327"/>
                <a:ext cx="0" cy="1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0" name="Freeform 668"/>
              <xdr:cNvSpPr>
                <a:spLocks noChangeAspect="1"/>
              </xdr:cNvSpPr>
            </xdr:nvSpPr>
            <xdr:spPr bwMode="auto">
              <a:xfrm>
                <a:off x="1364" y="2314"/>
                <a:ext cx="1" cy="2"/>
              </a:xfrm>
              <a:custGeom>
                <a:avLst/>
                <a:gdLst>
                  <a:gd name="T0" fmla="*/ 0 w 13"/>
                  <a:gd name="T1" fmla="*/ 0 h 14"/>
                  <a:gd name="T2" fmla="*/ 0 w 13"/>
                  <a:gd name="T3" fmla="*/ 0 h 14"/>
                  <a:gd name="T4" fmla="*/ 0 w 13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3" h="14">
                    <a:moveTo>
                      <a:pt x="0" y="14"/>
                    </a:moveTo>
                    <a:lnTo>
                      <a:pt x="12" y="0"/>
                    </a:lnTo>
                    <a:lnTo>
                      <a:pt x="1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1" name="Freeform 669"/>
              <xdr:cNvSpPr>
                <a:spLocks noChangeAspect="1"/>
              </xdr:cNvSpPr>
            </xdr:nvSpPr>
            <xdr:spPr bwMode="auto">
              <a:xfrm>
                <a:off x="1363" y="2336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2" name="Freeform 670"/>
              <xdr:cNvSpPr>
                <a:spLocks noChangeAspect="1"/>
              </xdr:cNvSpPr>
            </xdr:nvSpPr>
            <xdr:spPr bwMode="auto">
              <a:xfrm>
                <a:off x="1363" y="2337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3" name="Freeform 671"/>
              <xdr:cNvSpPr>
                <a:spLocks noChangeAspect="1"/>
              </xdr:cNvSpPr>
            </xdr:nvSpPr>
            <xdr:spPr bwMode="auto">
              <a:xfrm>
                <a:off x="1362" y="2361"/>
                <a:ext cx="33" cy="0"/>
              </a:xfrm>
              <a:custGeom>
                <a:avLst/>
                <a:gdLst>
                  <a:gd name="T0" fmla="*/ 0 w 264"/>
                  <a:gd name="T1" fmla="*/ 4 w 264"/>
                  <a:gd name="T2" fmla="*/ 4 w 26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4">
                    <a:moveTo>
                      <a:pt x="0" y="0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4" name="Freeform 672"/>
              <xdr:cNvSpPr>
                <a:spLocks noChangeAspect="1"/>
              </xdr:cNvSpPr>
            </xdr:nvSpPr>
            <xdr:spPr bwMode="auto">
              <a:xfrm>
                <a:off x="1363" y="2369"/>
                <a:ext cx="32" cy="3"/>
              </a:xfrm>
              <a:custGeom>
                <a:avLst/>
                <a:gdLst>
                  <a:gd name="T0" fmla="*/ 0 w 255"/>
                  <a:gd name="T1" fmla="*/ 1 h 17"/>
                  <a:gd name="T2" fmla="*/ 4 w 255"/>
                  <a:gd name="T3" fmla="*/ 0 h 17"/>
                  <a:gd name="T4" fmla="*/ 4 w 255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55" h="17">
                    <a:moveTo>
                      <a:pt x="0" y="17"/>
                    </a:moveTo>
                    <a:lnTo>
                      <a:pt x="254" y="0"/>
                    </a:lnTo>
                    <a:lnTo>
                      <a:pt x="25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5" name="Freeform 673"/>
              <xdr:cNvSpPr>
                <a:spLocks noChangeAspect="1"/>
              </xdr:cNvSpPr>
            </xdr:nvSpPr>
            <xdr:spPr bwMode="auto">
              <a:xfrm>
                <a:off x="1362" y="2367"/>
                <a:ext cx="33" cy="3"/>
              </a:xfrm>
              <a:custGeom>
                <a:avLst/>
                <a:gdLst>
                  <a:gd name="T0" fmla="*/ 0 w 264"/>
                  <a:gd name="T1" fmla="*/ 1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6" name="Freeform 674"/>
              <xdr:cNvSpPr>
                <a:spLocks noChangeAspect="1"/>
              </xdr:cNvSpPr>
            </xdr:nvSpPr>
            <xdr:spPr bwMode="auto">
              <a:xfrm>
                <a:off x="1362" y="2365"/>
                <a:ext cx="33" cy="2"/>
              </a:xfrm>
              <a:custGeom>
                <a:avLst/>
                <a:gdLst>
                  <a:gd name="T0" fmla="*/ 0 w 264"/>
                  <a:gd name="T1" fmla="*/ 0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7" name="Freeform 675"/>
              <xdr:cNvSpPr>
                <a:spLocks noChangeAspect="1"/>
              </xdr:cNvSpPr>
            </xdr:nvSpPr>
            <xdr:spPr bwMode="auto">
              <a:xfrm>
                <a:off x="1362" y="2363"/>
                <a:ext cx="33" cy="2"/>
              </a:xfrm>
              <a:custGeom>
                <a:avLst/>
                <a:gdLst>
                  <a:gd name="T0" fmla="*/ 0 w 264"/>
                  <a:gd name="T1" fmla="*/ 0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8" name="Freeform 676"/>
              <xdr:cNvSpPr>
                <a:spLocks noChangeAspect="1"/>
              </xdr:cNvSpPr>
            </xdr:nvSpPr>
            <xdr:spPr bwMode="auto">
              <a:xfrm>
                <a:off x="1363" y="2352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9" name="Freeform 677"/>
              <xdr:cNvSpPr>
                <a:spLocks noChangeAspect="1"/>
              </xdr:cNvSpPr>
            </xdr:nvSpPr>
            <xdr:spPr bwMode="auto">
              <a:xfrm>
                <a:off x="1363" y="2350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0" name="Freeform 678"/>
              <xdr:cNvSpPr>
                <a:spLocks noChangeAspect="1"/>
              </xdr:cNvSpPr>
            </xdr:nvSpPr>
            <xdr:spPr bwMode="auto">
              <a:xfrm>
                <a:off x="1363" y="2327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1" name="Freeform 679"/>
              <xdr:cNvSpPr>
                <a:spLocks noChangeAspect="1"/>
              </xdr:cNvSpPr>
            </xdr:nvSpPr>
            <xdr:spPr bwMode="auto">
              <a:xfrm>
                <a:off x="1363" y="2328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2" name="Freeform 680"/>
              <xdr:cNvSpPr>
                <a:spLocks noChangeAspect="1"/>
              </xdr:cNvSpPr>
            </xdr:nvSpPr>
            <xdr:spPr bwMode="auto">
              <a:xfrm>
                <a:off x="1364" y="2372"/>
                <a:ext cx="29" cy="0"/>
              </a:xfrm>
              <a:custGeom>
                <a:avLst/>
                <a:gdLst>
                  <a:gd name="T0" fmla="*/ 0 w 239"/>
                  <a:gd name="T1" fmla="*/ 4 w 239"/>
                  <a:gd name="T2" fmla="*/ 4 w 23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39">
                    <a:moveTo>
                      <a:pt x="0" y="0"/>
                    </a:moveTo>
                    <a:lnTo>
                      <a:pt x="237" y="0"/>
                    </a:lnTo>
                    <a:lnTo>
                      <a:pt x="23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3" name="Freeform 681"/>
              <xdr:cNvSpPr>
                <a:spLocks noChangeAspect="1"/>
              </xdr:cNvSpPr>
            </xdr:nvSpPr>
            <xdr:spPr bwMode="auto">
              <a:xfrm>
                <a:off x="1362" y="2361"/>
                <a:ext cx="31" cy="2"/>
              </a:xfrm>
              <a:custGeom>
                <a:avLst/>
                <a:gdLst>
                  <a:gd name="T0" fmla="*/ 0 w 250"/>
                  <a:gd name="T1" fmla="*/ 0 h 16"/>
                  <a:gd name="T2" fmla="*/ 4 w 250"/>
                  <a:gd name="T3" fmla="*/ 0 h 16"/>
                  <a:gd name="T4" fmla="*/ 4 w 250"/>
                  <a:gd name="T5" fmla="*/ 0 h 1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50" h="16">
                    <a:moveTo>
                      <a:pt x="0" y="16"/>
                    </a:moveTo>
                    <a:lnTo>
                      <a:pt x="249" y="0"/>
                    </a:lnTo>
                    <a:lnTo>
                      <a:pt x="25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4" name="Freeform 682"/>
              <xdr:cNvSpPr>
                <a:spLocks noChangeAspect="1"/>
              </xdr:cNvSpPr>
            </xdr:nvSpPr>
            <xdr:spPr bwMode="auto">
              <a:xfrm>
                <a:off x="1365" y="2314"/>
                <a:ext cx="27" cy="0"/>
              </a:xfrm>
              <a:custGeom>
                <a:avLst/>
                <a:gdLst>
                  <a:gd name="T0" fmla="*/ 3 w 214"/>
                  <a:gd name="T1" fmla="*/ 0 w 214"/>
                  <a:gd name="T2" fmla="*/ 0 w 21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14">
                    <a:moveTo>
                      <a:pt x="214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131" name="Freeform 683"/>
            <xdr:cNvSpPr>
              <a:spLocks noChangeAspect="1"/>
            </xdr:cNvSpPr>
          </xdr:nvSpPr>
          <xdr:spPr bwMode="auto">
            <a:xfrm>
              <a:off x="1110" y="1720"/>
              <a:ext cx="10" cy="26"/>
            </a:xfrm>
            <a:custGeom>
              <a:avLst/>
              <a:gdLst>
                <a:gd name="T0" fmla="*/ 10 w 10"/>
                <a:gd name="T1" fmla="*/ 0 h 26"/>
                <a:gd name="T2" fmla="*/ 6 w 10"/>
                <a:gd name="T3" fmla="*/ 26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0" h="26">
                  <a:moveTo>
                    <a:pt x="10" y="0"/>
                  </a:moveTo>
                  <a:cubicBezTo>
                    <a:pt x="0" y="7"/>
                    <a:pt x="6" y="15"/>
                    <a:pt x="6" y="26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2" name="Freeform 684"/>
            <xdr:cNvSpPr>
              <a:spLocks noChangeAspect="1"/>
            </xdr:cNvSpPr>
          </xdr:nvSpPr>
          <xdr:spPr bwMode="auto">
            <a:xfrm>
              <a:off x="1082" y="1974"/>
              <a:ext cx="16" cy="10"/>
            </a:xfrm>
            <a:custGeom>
              <a:avLst/>
              <a:gdLst>
                <a:gd name="T0" fmla="*/ 0 w 16"/>
                <a:gd name="T1" fmla="*/ 10 h 10"/>
                <a:gd name="T2" fmla="*/ 12 w 16"/>
                <a:gd name="T3" fmla="*/ 6 h 10"/>
                <a:gd name="T4" fmla="*/ 16 w 16"/>
                <a:gd name="T5" fmla="*/ 0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6" h="10">
                  <a:moveTo>
                    <a:pt x="0" y="10"/>
                  </a:moveTo>
                  <a:cubicBezTo>
                    <a:pt x="4" y="9"/>
                    <a:pt x="10" y="10"/>
                    <a:pt x="12" y="6"/>
                  </a:cubicBezTo>
                  <a:cubicBezTo>
                    <a:pt x="13" y="4"/>
                    <a:pt x="16" y="0"/>
                    <a:pt x="16" y="0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3" name="Freeform 685"/>
            <xdr:cNvSpPr>
              <a:spLocks noChangeAspect="1"/>
            </xdr:cNvSpPr>
          </xdr:nvSpPr>
          <xdr:spPr bwMode="auto">
            <a:xfrm>
              <a:off x="1144" y="2878"/>
              <a:ext cx="2" cy="20"/>
            </a:xfrm>
            <a:custGeom>
              <a:avLst/>
              <a:gdLst>
                <a:gd name="T0" fmla="*/ 0 w 2"/>
                <a:gd name="T1" fmla="*/ 0 h 20"/>
                <a:gd name="T2" fmla="*/ 2 w 2"/>
                <a:gd name="T3" fmla="*/ 20 h 20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2" h="20">
                  <a:moveTo>
                    <a:pt x="0" y="0"/>
                  </a:moveTo>
                  <a:cubicBezTo>
                    <a:pt x="2" y="17"/>
                    <a:pt x="2" y="11"/>
                    <a:pt x="2" y="20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4" name="Freeform 686"/>
            <xdr:cNvSpPr>
              <a:spLocks noChangeAspect="1"/>
            </xdr:cNvSpPr>
          </xdr:nvSpPr>
          <xdr:spPr bwMode="auto">
            <a:xfrm>
              <a:off x="1710" y="3188"/>
              <a:ext cx="8" cy="26"/>
            </a:xfrm>
            <a:custGeom>
              <a:avLst/>
              <a:gdLst>
                <a:gd name="T0" fmla="*/ 0 w 8"/>
                <a:gd name="T1" fmla="*/ 26 h 26"/>
                <a:gd name="T2" fmla="*/ 8 w 8"/>
                <a:gd name="T3" fmla="*/ 0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8" h="26">
                  <a:moveTo>
                    <a:pt x="0" y="26"/>
                  </a:moveTo>
                  <a:cubicBezTo>
                    <a:pt x="2" y="19"/>
                    <a:pt x="8" y="8"/>
                    <a:pt x="8" y="0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5" name="Freeform 687"/>
            <xdr:cNvSpPr>
              <a:spLocks noChangeAspect="1"/>
            </xdr:cNvSpPr>
          </xdr:nvSpPr>
          <xdr:spPr bwMode="auto">
            <a:xfrm>
              <a:off x="3392" y="3026"/>
              <a:ext cx="8" cy="26"/>
            </a:xfrm>
            <a:custGeom>
              <a:avLst/>
              <a:gdLst>
                <a:gd name="T0" fmla="*/ 0 w 8"/>
                <a:gd name="T1" fmla="*/ 26 h 26"/>
                <a:gd name="T2" fmla="*/ 8 w 8"/>
                <a:gd name="T3" fmla="*/ 0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8" h="26">
                  <a:moveTo>
                    <a:pt x="0" y="26"/>
                  </a:moveTo>
                  <a:cubicBezTo>
                    <a:pt x="8" y="18"/>
                    <a:pt x="8" y="13"/>
                    <a:pt x="8" y="0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6" name="Freeform 688"/>
            <xdr:cNvSpPr>
              <a:spLocks noChangeAspect="1"/>
            </xdr:cNvSpPr>
          </xdr:nvSpPr>
          <xdr:spPr bwMode="auto">
            <a:xfrm>
              <a:off x="3548" y="2880"/>
              <a:ext cx="4" cy="34"/>
            </a:xfrm>
            <a:custGeom>
              <a:avLst/>
              <a:gdLst>
                <a:gd name="T0" fmla="*/ 0 w 4"/>
                <a:gd name="T1" fmla="*/ 34 h 34"/>
                <a:gd name="T2" fmla="*/ 4 w 4"/>
                <a:gd name="T3" fmla="*/ 0 h 34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4" h="34">
                  <a:moveTo>
                    <a:pt x="0" y="34"/>
                  </a:moveTo>
                  <a:cubicBezTo>
                    <a:pt x="4" y="23"/>
                    <a:pt x="4" y="0"/>
                    <a:pt x="4" y="0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7" name="Freeform 689"/>
            <xdr:cNvSpPr>
              <a:spLocks noChangeAspect="1"/>
            </xdr:cNvSpPr>
          </xdr:nvSpPr>
          <xdr:spPr bwMode="auto">
            <a:xfrm>
              <a:off x="3594" y="1969"/>
              <a:ext cx="24" cy="29"/>
            </a:xfrm>
            <a:custGeom>
              <a:avLst/>
              <a:gdLst>
                <a:gd name="T0" fmla="*/ 0 w 24"/>
                <a:gd name="T1" fmla="*/ 3 h 29"/>
                <a:gd name="T2" fmla="*/ 16 w 24"/>
                <a:gd name="T3" fmla="*/ 29 h 2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24" h="29">
                  <a:moveTo>
                    <a:pt x="0" y="3"/>
                  </a:moveTo>
                  <a:cubicBezTo>
                    <a:pt x="24" y="6"/>
                    <a:pt x="16" y="0"/>
                    <a:pt x="16" y="29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8" name="Freeform 690"/>
            <xdr:cNvSpPr>
              <a:spLocks noChangeAspect="1"/>
            </xdr:cNvSpPr>
          </xdr:nvSpPr>
          <xdr:spPr bwMode="auto">
            <a:xfrm>
              <a:off x="3580" y="1730"/>
              <a:ext cx="4" cy="26"/>
            </a:xfrm>
            <a:custGeom>
              <a:avLst/>
              <a:gdLst>
                <a:gd name="T0" fmla="*/ 0 w 4"/>
                <a:gd name="T1" fmla="*/ 0 h 26"/>
                <a:gd name="T2" fmla="*/ 2 w 4"/>
                <a:gd name="T3" fmla="*/ 26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4" h="26">
                  <a:moveTo>
                    <a:pt x="0" y="0"/>
                  </a:moveTo>
                  <a:cubicBezTo>
                    <a:pt x="4" y="12"/>
                    <a:pt x="2" y="4"/>
                    <a:pt x="2" y="26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8" name="Text Box 691"/>
          <xdr:cNvSpPr txBox="1">
            <a:spLocks noChangeArrowheads="1"/>
          </xdr:cNvSpPr>
        </xdr:nvSpPr>
        <xdr:spPr bwMode="auto">
          <a:xfrm>
            <a:off x="839" y="109"/>
            <a:ext cx="160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Wassermenge für den</a:t>
            </a:r>
          </a:p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zu behandelnden Schlag</a:t>
            </a:r>
          </a:p>
        </xdr:txBody>
      </xdr:sp>
    </xdr:grpSp>
    <xdr:clientData/>
  </xdr:twoCellAnchor>
  <xdr:twoCellAnchor editAs="oneCell">
    <xdr:from>
      <xdr:col>8</xdr:col>
      <xdr:colOff>0</xdr:colOff>
      <xdr:row>13</xdr:row>
      <xdr:rowOff>83344</xdr:rowOff>
    </xdr:from>
    <xdr:to>
      <xdr:col>13</xdr:col>
      <xdr:colOff>42402</xdr:colOff>
      <xdr:row>18</xdr:row>
      <xdr:rowOff>151146</xdr:rowOff>
    </xdr:to>
    <xdr:pic>
      <xdr:nvPicPr>
        <xdr:cNvPr id="389" name="Grafik 388"/>
        <xdr:cNvPicPr>
          <a:picLocks noChangeAspect="1"/>
        </xdr:cNvPicPr>
      </xdr:nvPicPr>
      <xdr:blipFill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0531" y="3167063"/>
          <a:ext cx="2304590" cy="12584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20</xdr:row>
      <xdr:rowOff>167215</xdr:rowOff>
    </xdr:from>
    <xdr:to>
      <xdr:col>20</xdr:col>
      <xdr:colOff>15498</xdr:colOff>
      <xdr:row>23</xdr:row>
      <xdr:rowOff>62063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95250" y="4872565"/>
          <a:ext cx="11845548" cy="580648"/>
        </a:xfrm>
        <a:prstGeom prst="foldedCorner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</a:r>
        </a:p>
      </xdr:txBody>
    </xdr:sp>
    <xdr:clientData/>
  </xdr:twoCellAnchor>
  <xdr:twoCellAnchor editAs="oneCell">
    <xdr:from>
      <xdr:col>0</xdr:col>
      <xdr:colOff>154782</xdr:colOff>
      <xdr:row>15</xdr:row>
      <xdr:rowOff>124089</xdr:rowOff>
    </xdr:from>
    <xdr:to>
      <xdr:col>5</xdr:col>
      <xdr:colOff>93257</xdr:colOff>
      <xdr:row>20</xdr:row>
      <xdr:rowOff>92840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2" y="3686439"/>
          <a:ext cx="4853375" cy="1111751"/>
        </a:xfrm>
        <a:prstGeom prst="rect">
          <a:avLst/>
        </a:prstGeom>
      </xdr:spPr>
    </xdr:pic>
    <xdr:clientData/>
  </xdr:twoCellAnchor>
  <xdr:twoCellAnchor editAs="oneCell">
    <xdr:from>
      <xdr:col>6</xdr:col>
      <xdr:colOff>55036</xdr:colOff>
      <xdr:row>15</xdr:row>
      <xdr:rowOff>57150</xdr:rowOff>
    </xdr:from>
    <xdr:to>
      <xdr:col>15</xdr:col>
      <xdr:colOff>429892</xdr:colOff>
      <xdr:row>20</xdr:row>
      <xdr:rowOff>118464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7711" y="3619500"/>
          <a:ext cx="4794456" cy="120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439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</xdr:colOff>
      <xdr:row>25</xdr:row>
      <xdr:rowOff>140494</xdr:rowOff>
    </xdr:from>
    <xdr:to>
      <xdr:col>19</xdr:col>
      <xdr:colOff>396497</xdr:colOff>
      <xdr:row>33</xdr:row>
      <xdr:rowOff>145407</xdr:rowOff>
    </xdr:to>
    <xdr:grpSp>
      <xdr:nvGrpSpPr>
        <xdr:cNvPr id="11" name="Gruppieren 10"/>
        <xdr:cNvGrpSpPr/>
      </xdr:nvGrpSpPr>
      <xdr:grpSpPr>
        <a:xfrm>
          <a:off x="23812" y="5962650"/>
          <a:ext cx="13171904" cy="1814663"/>
          <a:chOff x="95250" y="3617119"/>
          <a:chExt cx="12981404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2981404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3617119"/>
            <a:ext cx="4837319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96950</xdr:rowOff>
    </xdr:from>
    <xdr:to>
      <xdr:col>3</xdr:col>
      <xdr:colOff>763701</xdr:colOff>
      <xdr:row>20</xdr:row>
      <xdr:rowOff>5101</xdr:rowOff>
    </xdr:to>
    <xdr:sp macro="" textlink="">
      <xdr:nvSpPr>
        <xdr:cNvPr id="9" name="Rahmen 8"/>
        <xdr:cNvSpPr/>
      </xdr:nvSpPr>
      <xdr:spPr>
        <a:xfrm>
          <a:off x="0" y="3656919"/>
          <a:ext cx="4073639" cy="1039245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59533</xdr:colOff>
      <xdr:row>0</xdr:row>
      <xdr:rowOff>23812</xdr:rowOff>
    </xdr:from>
    <xdr:to>
      <xdr:col>6</xdr:col>
      <xdr:colOff>966110</xdr:colOff>
      <xdr:row>3</xdr:row>
      <xdr:rowOff>195602</xdr:rowOff>
    </xdr:to>
    <xdr:sp macro="" textlink="">
      <xdr:nvSpPr>
        <xdr:cNvPr id="10" name="Rahmen 9"/>
        <xdr:cNvSpPr/>
      </xdr:nvSpPr>
      <xdr:spPr>
        <a:xfrm>
          <a:off x="4202908" y="23812"/>
          <a:ext cx="2918733" cy="87425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Düsen </a:t>
          </a: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25 cm Düsenabstand im Gestänge und 40 cm Abstand zur Zielfläche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128588</xdr:rowOff>
    </xdr:from>
    <xdr:to>
      <xdr:col>19</xdr:col>
      <xdr:colOff>372686</xdr:colOff>
      <xdr:row>33</xdr:row>
      <xdr:rowOff>133501</xdr:rowOff>
    </xdr:to>
    <xdr:grpSp>
      <xdr:nvGrpSpPr>
        <xdr:cNvPr id="9" name="Gruppieren 8"/>
        <xdr:cNvGrpSpPr/>
      </xdr:nvGrpSpPr>
      <xdr:grpSpPr>
        <a:xfrm>
          <a:off x="0" y="5950744"/>
          <a:ext cx="13469561" cy="1814663"/>
          <a:chOff x="95250" y="3617119"/>
          <a:chExt cx="13469561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469561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36171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47624</xdr:rowOff>
    </xdr:from>
    <xdr:to>
      <xdr:col>3</xdr:col>
      <xdr:colOff>773906</xdr:colOff>
      <xdr:row>19</xdr:row>
      <xdr:rowOff>202405</xdr:rowOff>
    </xdr:to>
    <xdr:sp macro="" textlink="">
      <xdr:nvSpPr>
        <xdr:cNvPr id="12" name="Rahmen 11"/>
        <xdr:cNvSpPr/>
      </xdr:nvSpPr>
      <xdr:spPr>
        <a:xfrm>
          <a:off x="0" y="3607593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23811</xdr:colOff>
      <xdr:row>0</xdr:row>
      <xdr:rowOff>0</xdr:rowOff>
    </xdr:from>
    <xdr:to>
      <xdr:col>6</xdr:col>
      <xdr:colOff>1297780</xdr:colOff>
      <xdr:row>3</xdr:row>
      <xdr:rowOff>154781</xdr:rowOff>
    </xdr:to>
    <xdr:sp macro="" textlink="">
      <xdr:nvSpPr>
        <xdr:cNvPr id="13" name="Rahmen 12"/>
        <xdr:cNvSpPr/>
      </xdr:nvSpPr>
      <xdr:spPr>
        <a:xfrm>
          <a:off x="4167186" y="0"/>
          <a:ext cx="3286125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LANGE Injektor-Flachstrahldüsen</a:t>
          </a:r>
          <a:b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3,0 bis 5,0 bar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25</xdr:row>
      <xdr:rowOff>128588</xdr:rowOff>
    </xdr:from>
    <xdr:to>
      <xdr:col>19</xdr:col>
      <xdr:colOff>384591</xdr:colOff>
      <xdr:row>33</xdr:row>
      <xdr:rowOff>133501</xdr:rowOff>
    </xdr:to>
    <xdr:grpSp>
      <xdr:nvGrpSpPr>
        <xdr:cNvPr id="9" name="Gruppieren 8"/>
        <xdr:cNvGrpSpPr/>
      </xdr:nvGrpSpPr>
      <xdr:grpSpPr>
        <a:xfrm>
          <a:off x="11906" y="5950744"/>
          <a:ext cx="13791029" cy="1814663"/>
          <a:chOff x="95250" y="3617119"/>
          <a:chExt cx="13791029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791029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36171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71436</xdr:rowOff>
    </xdr:from>
    <xdr:to>
      <xdr:col>3</xdr:col>
      <xdr:colOff>773906</xdr:colOff>
      <xdr:row>19</xdr:row>
      <xdr:rowOff>226217</xdr:rowOff>
    </xdr:to>
    <xdr:sp macro="" textlink="">
      <xdr:nvSpPr>
        <xdr:cNvPr id="10" name="Rahmen 9"/>
        <xdr:cNvSpPr/>
      </xdr:nvSpPr>
      <xdr:spPr>
        <a:xfrm>
          <a:off x="0" y="3631405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71435</xdr:colOff>
      <xdr:row>0</xdr:row>
      <xdr:rowOff>0</xdr:rowOff>
    </xdr:from>
    <xdr:to>
      <xdr:col>6</xdr:col>
      <xdr:colOff>1702593</xdr:colOff>
      <xdr:row>3</xdr:row>
      <xdr:rowOff>154781</xdr:rowOff>
    </xdr:to>
    <xdr:sp macro="" textlink="">
      <xdr:nvSpPr>
        <xdr:cNvPr id="11" name="Rahmen 10"/>
        <xdr:cNvSpPr/>
      </xdr:nvSpPr>
      <xdr:spPr>
        <a:xfrm>
          <a:off x="4214810" y="0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KURZE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2,0 bis 3,0 bar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25</xdr:row>
      <xdr:rowOff>140494</xdr:rowOff>
    </xdr:from>
    <xdr:to>
      <xdr:col>19</xdr:col>
      <xdr:colOff>384591</xdr:colOff>
      <xdr:row>33</xdr:row>
      <xdr:rowOff>145407</xdr:rowOff>
    </xdr:to>
    <xdr:grpSp>
      <xdr:nvGrpSpPr>
        <xdr:cNvPr id="9" name="Gruppieren 8"/>
        <xdr:cNvGrpSpPr/>
      </xdr:nvGrpSpPr>
      <xdr:grpSpPr>
        <a:xfrm>
          <a:off x="11906" y="5962650"/>
          <a:ext cx="14064873" cy="1814663"/>
          <a:chOff x="95250" y="3617119"/>
          <a:chExt cx="14064873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4064873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36171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71436</xdr:rowOff>
    </xdr:from>
    <xdr:to>
      <xdr:col>3</xdr:col>
      <xdr:colOff>773906</xdr:colOff>
      <xdr:row>19</xdr:row>
      <xdr:rowOff>226217</xdr:rowOff>
    </xdr:to>
    <xdr:sp macro="" textlink="">
      <xdr:nvSpPr>
        <xdr:cNvPr id="10" name="Rahmen 9"/>
        <xdr:cNvSpPr/>
      </xdr:nvSpPr>
      <xdr:spPr>
        <a:xfrm>
          <a:off x="0" y="3631405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23811</xdr:colOff>
      <xdr:row>0</xdr:row>
      <xdr:rowOff>0</xdr:rowOff>
    </xdr:from>
    <xdr:to>
      <xdr:col>6</xdr:col>
      <xdr:colOff>1654969</xdr:colOff>
      <xdr:row>3</xdr:row>
      <xdr:rowOff>154781</xdr:rowOff>
    </xdr:to>
    <xdr:sp macro="" textlink="">
      <xdr:nvSpPr>
        <xdr:cNvPr id="11" name="Rahmen 10"/>
        <xdr:cNvSpPr/>
      </xdr:nvSpPr>
      <xdr:spPr>
        <a:xfrm>
          <a:off x="4167186" y="0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LANGE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3,0 bis 5,0 bar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50007</xdr:colOff>
      <xdr:row>33</xdr:row>
      <xdr:rowOff>14815</xdr:rowOff>
    </xdr:from>
    <xdr:to>
      <xdr:col>19</xdr:col>
      <xdr:colOff>417930</xdr:colOff>
      <xdr:row>35</xdr:row>
      <xdr:rowOff>138263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50007" y="7646721"/>
          <a:ext cx="13345736" cy="575886"/>
        </a:xfrm>
        <a:prstGeom prst="foldedCorner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</a:r>
        </a:p>
      </xdr:txBody>
    </xdr:sp>
    <xdr:clientData/>
  </xdr:twoCellAnchor>
  <xdr:twoCellAnchor editAs="oneCell">
    <xdr:from>
      <xdr:col>0</xdr:col>
      <xdr:colOff>109539</xdr:colOff>
      <xdr:row>27</xdr:row>
      <xdr:rowOff>200289</xdr:rowOff>
    </xdr:from>
    <xdr:to>
      <xdr:col>5</xdr:col>
      <xdr:colOff>48014</xdr:colOff>
      <xdr:row>32</xdr:row>
      <xdr:rowOff>169040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9" y="6474883"/>
          <a:ext cx="4843850" cy="1099845"/>
        </a:xfrm>
        <a:prstGeom prst="rect">
          <a:avLst/>
        </a:prstGeom>
      </xdr:spPr>
    </xdr:pic>
    <xdr:clientData/>
  </xdr:twoCellAnchor>
  <xdr:twoCellAnchor editAs="oneCell">
    <xdr:from>
      <xdr:col>6</xdr:col>
      <xdr:colOff>7412</xdr:colOff>
      <xdr:row>27</xdr:row>
      <xdr:rowOff>133350</xdr:rowOff>
    </xdr:from>
    <xdr:to>
      <xdr:col>10</xdr:col>
      <xdr:colOff>387030</xdr:colOff>
      <xdr:row>32</xdr:row>
      <xdr:rowOff>194664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2943" y="6407944"/>
          <a:ext cx="4832556" cy="119240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88695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88695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88695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43927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15</xdr:row>
      <xdr:rowOff>71436</xdr:rowOff>
    </xdr:from>
    <xdr:to>
      <xdr:col>3</xdr:col>
      <xdr:colOff>773906</xdr:colOff>
      <xdr:row>19</xdr:row>
      <xdr:rowOff>190498</xdr:rowOff>
    </xdr:to>
    <xdr:sp macro="" textlink="">
      <xdr:nvSpPr>
        <xdr:cNvPr id="13" name="Rahmen 12"/>
        <xdr:cNvSpPr/>
      </xdr:nvSpPr>
      <xdr:spPr>
        <a:xfrm>
          <a:off x="0" y="3631405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726280</xdr:colOff>
      <xdr:row>0</xdr:row>
      <xdr:rowOff>107156</xdr:rowOff>
    </xdr:from>
    <xdr:to>
      <xdr:col>11</xdr:col>
      <xdr:colOff>428625</xdr:colOff>
      <xdr:row>2</xdr:row>
      <xdr:rowOff>178593</xdr:rowOff>
    </xdr:to>
    <xdr:sp macro="" textlink="">
      <xdr:nvSpPr>
        <xdr:cNvPr id="14" name="Rahmen 13"/>
        <xdr:cNvSpPr/>
      </xdr:nvSpPr>
      <xdr:spPr>
        <a:xfrm>
          <a:off x="4869655" y="107156"/>
          <a:ext cx="6619876" cy="535781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Randdüsen Lechler (nicht ISO) - gleiche Farbe/Größe wie im Gestänge</a:t>
          </a:r>
        </a:p>
      </xdr:txBody>
    </xdr:sp>
    <xdr:clientData/>
  </xdr:twoCellAnchor>
  <xdr:twoCellAnchor>
    <xdr:from>
      <xdr:col>5</xdr:col>
      <xdr:colOff>35717</xdr:colOff>
      <xdr:row>14</xdr:row>
      <xdr:rowOff>35719</xdr:rowOff>
    </xdr:from>
    <xdr:to>
      <xdr:col>13</xdr:col>
      <xdr:colOff>381000</xdr:colOff>
      <xdr:row>16</xdr:row>
      <xdr:rowOff>107156</xdr:rowOff>
    </xdr:to>
    <xdr:sp macro="" textlink="">
      <xdr:nvSpPr>
        <xdr:cNvPr id="15" name="Rahmen 14"/>
        <xdr:cNvSpPr/>
      </xdr:nvSpPr>
      <xdr:spPr>
        <a:xfrm>
          <a:off x="4941092" y="3357563"/>
          <a:ext cx="7405689" cy="535781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Randdüsen andere (ISO) - Randdüse ist eine Größe kleiner als Düsen im Gestänge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25</xdr:row>
      <xdr:rowOff>152400</xdr:rowOff>
    </xdr:from>
    <xdr:to>
      <xdr:col>19</xdr:col>
      <xdr:colOff>384591</xdr:colOff>
      <xdr:row>33</xdr:row>
      <xdr:rowOff>157313</xdr:rowOff>
    </xdr:to>
    <xdr:grpSp>
      <xdr:nvGrpSpPr>
        <xdr:cNvPr id="9" name="Gruppieren 8"/>
        <xdr:cNvGrpSpPr/>
      </xdr:nvGrpSpPr>
      <xdr:grpSpPr>
        <a:xfrm>
          <a:off x="11906" y="5974556"/>
          <a:ext cx="12778998" cy="1814663"/>
          <a:chOff x="95250" y="3617119"/>
          <a:chExt cx="12778998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2778998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36171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6" name="Rahmen 5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83343</xdr:rowOff>
    </xdr:from>
    <xdr:to>
      <xdr:col>3</xdr:col>
      <xdr:colOff>763701</xdr:colOff>
      <xdr:row>19</xdr:row>
      <xdr:rowOff>217713</xdr:rowOff>
    </xdr:to>
    <xdr:sp macro="" textlink="">
      <xdr:nvSpPr>
        <xdr:cNvPr id="7" name="Rahmen 6"/>
        <xdr:cNvSpPr/>
      </xdr:nvSpPr>
      <xdr:spPr>
        <a:xfrm>
          <a:off x="0" y="3643312"/>
          <a:ext cx="4073639" cy="1039245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47625</xdr:colOff>
      <xdr:row>0</xdr:row>
      <xdr:rowOff>0</xdr:rowOff>
    </xdr:from>
    <xdr:to>
      <xdr:col>6</xdr:col>
      <xdr:colOff>1180420</xdr:colOff>
      <xdr:row>3</xdr:row>
      <xdr:rowOff>171790</xdr:rowOff>
    </xdr:to>
    <xdr:sp macro="" textlink="">
      <xdr:nvSpPr>
        <xdr:cNvPr id="8" name="Rahmen 7"/>
        <xdr:cNvSpPr/>
      </xdr:nvSpPr>
      <xdr:spPr>
        <a:xfrm>
          <a:off x="4191000" y="0"/>
          <a:ext cx="3144951" cy="87425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Düsen </a:t>
          </a: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25 cm Düsenabstand im Gestänge und 40 cm Abstand zur Zielfläche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25</xdr:row>
      <xdr:rowOff>157163</xdr:rowOff>
    </xdr:from>
    <xdr:to>
      <xdr:col>19</xdr:col>
      <xdr:colOff>406023</xdr:colOff>
      <xdr:row>33</xdr:row>
      <xdr:rowOff>162076</xdr:rowOff>
    </xdr:to>
    <xdr:grpSp>
      <xdr:nvGrpSpPr>
        <xdr:cNvPr id="13" name="Gruppieren 12"/>
        <xdr:cNvGrpSpPr/>
      </xdr:nvGrpSpPr>
      <xdr:grpSpPr>
        <a:xfrm>
          <a:off x="38100" y="5979319"/>
          <a:ext cx="15048329" cy="1814663"/>
          <a:chOff x="50007" y="6407944"/>
          <a:chExt cx="15048329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50007" y="7646721"/>
            <a:ext cx="15048329" cy="575886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9539" y="6474883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62943" y="6407944"/>
            <a:ext cx="4832556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4966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4966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0490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49667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49667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49667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0490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15</xdr:row>
      <xdr:rowOff>154780</xdr:rowOff>
    </xdr:from>
    <xdr:to>
      <xdr:col>3</xdr:col>
      <xdr:colOff>773906</xdr:colOff>
      <xdr:row>20</xdr:row>
      <xdr:rowOff>83342</xdr:rowOff>
    </xdr:to>
    <xdr:sp macro="" textlink="">
      <xdr:nvSpPr>
        <xdr:cNvPr id="14" name="Rahmen 13"/>
        <xdr:cNvSpPr/>
      </xdr:nvSpPr>
      <xdr:spPr>
        <a:xfrm>
          <a:off x="0" y="3714749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202406</xdr:colOff>
      <xdr:row>0</xdr:row>
      <xdr:rowOff>35718</xdr:rowOff>
    </xdr:from>
    <xdr:to>
      <xdr:col>7</xdr:col>
      <xdr:colOff>1250156</xdr:colOff>
      <xdr:row>2</xdr:row>
      <xdr:rowOff>190499</xdr:rowOff>
    </xdr:to>
    <xdr:sp macro="" textlink="">
      <xdr:nvSpPr>
        <xdr:cNvPr id="15" name="Rahmen 14"/>
        <xdr:cNvSpPr/>
      </xdr:nvSpPr>
      <xdr:spPr>
        <a:xfrm>
          <a:off x="4345781" y="35718"/>
          <a:ext cx="5167313" cy="619125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Mischbestückung mit 6 x Flachstrahldüse hinter der Spritze bei Doppelflachstrahldüsen wenn es zum anspritzen</a:t>
          </a:r>
          <a:r>
            <a:rPr lang="de-DE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kommt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25</xdr:row>
      <xdr:rowOff>102395</xdr:rowOff>
    </xdr:from>
    <xdr:to>
      <xdr:col>19</xdr:col>
      <xdr:colOff>420309</xdr:colOff>
      <xdr:row>33</xdr:row>
      <xdr:rowOff>145408</xdr:rowOff>
    </xdr:to>
    <xdr:grpSp>
      <xdr:nvGrpSpPr>
        <xdr:cNvPr id="6" name="Gruppieren 5"/>
        <xdr:cNvGrpSpPr/>
      </xdr:nvGrpSpPr>
      <xdr:grpSpPr>
        <a:xfrm>
          <a:off x="47624" y="5924551"/>
          <a:ext cx="13362404" cy="1852763"/>
          <a:chOff x="107156" y="4876801"/>
          <a:chExt cx="13362404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107156" y="6156060"/>
            <a:ext cx="13362404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6688" y="4981840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31998" y="4876801"/>
            <a:ext cx="4834938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12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58200" y="211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439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47625</xdr:colOff>
      <xdr:row>0</xdr:row>
      <xdr:rowOff>28575</xdr:rowOff>
    </xdr:from>
    <xdr:to>
      <xdr:col>0</xdr:col>
      <xdr:colOff>1562100</xdr:colOff>
      <xdr:row>1</xdr:row>
      <xdr:rowOff>200025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47625" y="28575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47625</xdr:colOff>
      <xdr:row>15</xdr:row>
      <xdr:rowOff>95250</xdr:rowOff>
    </xdr:from>
    <xdr:to>
      <xdr:col>3</xdr:col>
      <xdr:colOff>821531</xdr:colOff>
      <xdr:row>20</xdr:row>
      <xdr:rowOff>23812</xdr:rowOff>
    </xdr:to>
    <xdr:sp macro="" textlink="">
      <xdr:nvSpPr>
        <xdr:cNvPr id="5" name="Rahmen 4"/>
        <xdr:cNvSpPr/>
      </xdr:nvSpPr>
      <xdr:spPr>
        <a:xfrm>
          <a:off x="47625" y="3655219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71436</xdr:colOff>
      <xdr:row>0</xdr:row>
      <xdr:rowOff>47626</xdr:rowOff>
    </xdr:from>
    <xdr:to>
      <xdr:col>6</xdr:col>
      <xdr:colOff>1345405</xdr:colOff>
      <xdr:row>3</xdr:row>
      <xdr:rowOff>202407</xdr:rowOff>
    </xdr:to>
    <xdr:sp macro="" textlink="">
      <xdr:nvSpPr>
        <xdr:cNvPr id="13" name="Rahmen 12"/>
        <xdr:cNvSpPr/>
      </xdr:nvSpPr>
      <xdr:spPr>
        <a:xfrm>
          <a:off x="4214811" y="47626"/>
          <a:ext cx="3286125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KURZE Injektor-Flachstrahldüsen</a:t>
          </a:r>
          <a:b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2,0 bis 3,0 bar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20</xdr:row>
      <xdr:rowOff>167215</xdr:rowOff>
    </xdr:from>
    <xdr:to>
      <xdr:col>20</xdr:col>
      <xdr:colOff>15498</xdr:colOff>
      <xdr:row>23</xdr:row>
      <xdr:rowOff>62063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95250" y="4872565"/>
          <a:ext cx="13055223" cy="580648"/>
        </a:xfrm>
        <a:prstGeom prst="foldedCorner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</a:r>
        </a:p>
      </xdr:txBody>
    </xdr:sp>
    <xdr:clientData/>
  </xdr:twoCellAnchor>
  <xdr:twoCellAnchor editAs="oneCell">
    <xdr:from>
      <xdr:col>0</xdr:col>
      <xdr:colOff>154782</xdr:colOff>
      <xdr:row>15</xdr:row>
      <xdr:rowOff>124089</xdr:rowOff>
    </xdr:from>
    <xdr:to>
      <xdr:col>5</xdr:col>
      <xdr:colOff>93257</xdr:colOff>
      <xdr:row>20</xdr:row>
      <xdr:rowOff>92840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2" y="3686439"/>
          <a:ext cx="4853375" cy="1111751"/>
        </a:xfrm>
        <a:prstGeom prst="rect">
          <a:avLst/>
        </a:prstGeom>
      </xdr:spPr>
    </xdr:pic>
    <xdr:clientData/>
  </xdr:twoCellAnchor>
  <xdr:twoCellAnchor editAs="oneCell">
    <xdr:from>
      <xdr:col>6</xdr:col>
      <xdr:colOff>64561</xdr:colOff>
      <xdr:row>15</xdr:row>
      <xdr:rowOff>19050</xdr:rowOff>
    </xdr:from>
    <xdr:to>
      <xdr:col>15</xdr:col>
      <xdr:colOff>125092</xdr:colOff>
      <xdr:row>20</xdr:row>
      <xdr:rowOff>80364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7236" y="3581400"/>
          <a:ext cx="4794456" cy="120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105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105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105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6582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47625</xdr:colOff>
      <xdr:row>0</xdr:row>
      <xdr:rowOff>28575</xdr:rowOff>
    </xdr:from>
    <xdr:to>
      <xdr:col>0</xdr:col>
      <xdr:colOff>1562100</xdr:colOff>
      <xdr:row>1</xdr:row>
      <xdr:rowOff>200025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47625" y="28575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90488</xdr:rowOff>
    </xdr:from>
    <xdr:to>
      <xdr:col>19</xdr:col>
      <xdr:colOff>372686</xdr:colOff>
      <xdr:row>33</xdr:row>
      <xdr:rowOff>133501</xdr:rowOff>
    </xdr:to>
    <xdr:grpSp>
      <xdr:nvGrpSpPr>
        <xdr:cNvPr id="10" name="Gruppieren 9"/>
        <xdr:cNvGrpSpPr/>
      </xdr:nvGrpSpPr>
      <xdr:grpSpPr>
        <a:xfrm>
          <a:off x="0" y="5912644"/>
          <a:ext cx="13290967" cy="1852763"/>
          <a:chOff x="95250" y="3579019"/>
          <a:chExt cx="13290967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290967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47624</xdr:rowOff>
    </xdr:from>
    <xdr:to>
      <xdr:col>3</xdr:col>
      <xdr:colOff>773906</xdr:colOff>
      <xdr:row>19</xdr:row>
      <xdr:rowOff>202405</xdr:rowOff>
    </xdr:to>
    <xdr:sp macro="" textlink="">
      <xdr:nvSpPr>
        <xdr:cNvPr id="11" name="Rahmen 10"/>
        <xdr:cNvSpPr/>
      </xdr:nvSpPr>
      <xdr:spPr>
        <a:xfrm>
          <a:off x="0" y="3607593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23811</xdr:colOff>
      <xdr:row>0</xdr:row>
      <xdr:rowOff>0</xdr:rowOff>
    </xdr:from>
    <xdr:to>
      <xdr:col>6</xdr:col>
      <xdr:colOff>1297780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167186" y="0"/>
          <a:ext cx="3286125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LANGE Injektor-Flachstrahldüsen</a:t>
          </a:r>
          <a:b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3,0 bis 5,0 bar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102394</xdr:rowOff>
    </xdr:from>
    <xdr:to>
      <xdr:col>19</xdr:col>
      <xdr:colOff>372686</xdr:colOff>
      <xdr:row>33</xdr:row>
      <xdr:rowOff>145407</xdr:rowOff>
    </xdr:to>
    <xdr:grpSp>
      <xdr:nvGrpSpPr>
        <xdr:cNvPr id="10" name="Gruppieren 9"/>
        <xdr:cNvGrpSpPr/>
      </xdr:nvGrpSpPr>
      <xdr:grpSpPr>
        <a:xfrm>
          <a:off x="0" y="5924550"/>
          <a:ext cx="13707686" cy="1852763"/>
          <a:chOff x="95250" y="3579019"/>
          <a:chExt cx="13707686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707686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59530</xdr:rowOff>
    </xdr:from>
    <xdr:to>
      <xdr:col>3</xdr:col>
      <xdr:colOff>773906</xdr:colOff>
      <xdr:row>19</xdr:row>
      <xdr:rowOff>214311</xdr:rowOff>
    </xdr:to>
    <xdr:sp macro="" textlink="">
      <xdr:nvSpPr>
        <xdr:cNvPr id="11" name="Rahmen 10"/>
        <xdr:cNvSpPr/>
      </xdr:nvSpPr>
      <xdr:spPr>
        <a:xfrm>
          <a:off x="0" y="3619499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47623</xdr:colOff>
      <xdr:row>0</xdr:row>
      <xdr:rowOff>0</xdr:rowOff>
    </xdr:from>
    <xdr:to>
      <xdr:col>6</xdr:col>
      <xdr:colOff>1678781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190998" y="0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KURZE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2,0 bis 3,0 bar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25</xdr:row>
      <xdr:rowOff>90488</xdr:rowOff>
    </xdr:from>
    <xdr:to>
      <xdr:col>19</xdr:col>
      <xdr:colOff>384592</xdr:colOff>
      <xdr:row>33</xdr:row>
      <xdr:rowOff>133501</xdr:rowOff>
    </xdr:to>
    <xdr:grpSp>
      <xdr:nvGrpSpPr>
        <xdr:cNvPr id="10" name="Gruppieren 9"/>
        <xdr:cNvGrpSpPr/>
      </xdr:nvGrpSpPr>
      <xdr:grpSpPr>
        <a:xfrm>
          <a:off x="11906" y="5912644"/>
          <a:ext cx="13671967" cy="1852763"/>
          <a:chOff x="95250" y="3579019"/>
          <a:chExt cx="13671967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671967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71436</xdr:rowOff>
    </xdr:from>
    <xdr:to>
      <xdr:col>3</xdr:col>
      <xdr:colOff>773906</xdr:colOff>
      <xdr:row>19</xdr:row>
      <xdr:rowOff>226217</xdr:rowOff>
    </xdr:to>
    <xdr:sp macro="" textlink="">
      <xdr:nvSpPr>
        <xdr:cNvPr id="11" name="Rahmen 10"/>
        <xdr:cNvSpPr/>
      </xdr:nvSpPr>
      <xdr:spPr>
        <a:xfrm>
          <a:off x="0" y="3631405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23811</xdr:colOff>
      <xdr:row>0</xdr:row>
      <xdr:rowOff>0</xdr:rowOff>
    </xdr:from>
    <xdr:to>
      <xdr:col>6</xdr:col>
      <xdr:colOff>1654969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167186" y="0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LANGE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3,0 bis 5,0 bar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25</xdr:row>
      <xdr:rowOff>133350</xdr:rowOff>
    </xdr:from>
    <xdr:to>
      <xdr:col>19</xdr:col>
      <xdr:colOff>384592</xdr:colOff>
      <xdr:row>33</xdr:row>
      <xdr:rowOff>138263</xdr:rowOff>
    </xdr:to>
    <xdr:grpSp>
      <xdr:nvGrpSpPr>
        <xdr:cNvPr id="9" name="Gruppieren 8"/>
        <xdr:cNvGrpSpPr/>
      </xdr:nvGrpSpPr>
      <xdr:grpSpPr>
        <a:xfrm>
          <a:off x="11906" y="6015038"/>
          <a:ext cx="13362405" cy="1814663"/>
          <a:chOff x="95250" y="4419600"/>
          <a:chExt cx="13671967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5658378"/>
            <a:ext cx="13671967" cy="575885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4484158"/>
            <a:ext cx="4843850" cy="1102226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4419600"/>
            <a:ext cx="4827794" cy="1190027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20</xdr:row>
      <xdr:rowOff>47625</xdr:rowOff>
    </xdr:from>
    <xdr:to>
      <xdr:col>10</xdr:col>
      <xdr:colOff>107156</xdr:colOff>
      <xdr:row>25</xdr:row>
      <xdr:rowOff>-1</xdr:rowOff>
    </xdr:to>
    <xdr:sp macro="" textlink="">
      <xdr:nvSpPr>
        <xdr:cNvPr id="25" name="Rahmen 24"/>
        <xdr:cNvSpPr/>
      </xdr:nvSpPr>
      <xdr:spPr>
        <a:xfrm>
          <a:off x="0" y="4798219"/>
          <a:ext cx="9334500" cy="1083468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(l/ha), die Fahrgeschwindigkeit (km/h), Bandbreite (cm), der Reihenabstand (cm), die Schlaggröße (ha) und die PSM-Menge (l bzw. kg/ha) verändert werden </a:t>
          </a:r>
          <a:b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in den grünen Feldern wird der Anteil berechnet der angesetzt bzw. behandelt werden muss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0</xdr:row>
      <xdr:rowOff>0</xdr:rowOff>
    </xdr:from>
    <xdr:to>
      <xdr:col>6</xdr:col>
      <xdr:colOff>797720</xdr:colOff>
      <xdr:row>3</xdr:row>
      <xdr:rowOff>190500</xdr:rowOff>
    </xdr:to>
    <xdr:sp macro="" textlink="">
      <xdr:nvSpPr>
        <xdr:cNvPr id="26" name="Rahmen 25"/>
        <xdr:cNvSpPr/>
      </xdr:nvSpPr>
      <xdr:spPr>
        <a:xfrm>
          <a:off x="4238625" y="0"/>
          <a:ext cx="2714626" cy="89296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Bandspritzdüsen</a:t>
          </a:r>
        </a:p>
      </xdr:txBody>
    </xdr:sp>
    <xdr:clientData/>
  </xdr:twoCellAnchor>
  <xdr:twoCellAnchor>
    <xdr:from>
      <xdr:col>2</xdr:col>
      <xdr:colOff>71437</xdr:colOff>
      <xdr:row>10</xdr:row>
      <xdr:rowOff>119063</xdr:rowOff>
    </xdr:from>
    <xdr:to>
      <xdr:col>3</xdr:col>
      <xdr:colOff>785812</xdr:colOff>
      <xdr:row>14</xdr:row>
      <xdr:rowOff>107157</xdr:rowOff>
    </xdr:to>
    <xdr:sp macro="" textlink="">
      <xdr:nvSpPr>
        <xdr:cNvPr id="27" name="Horizontales Scrollen 26"/>
        <xdr:cNvSpPr/>
      </xdr:nvSpPr>
      <xdr:spPr>
        <a:xfrm>
          <a:off x="2738437" y="2488407"/>
          <a:ext cx="1357313" cy="940594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l/ha auf die ges. Fläche bezogen</a:t>
          </a:r>
        </a:p>
      </xdr:txBody>
    </xdr:sp>
    <xdr:clientData/>
  </xdr:twoCellAnchor>
  <xdr:twoCellAnchor>
    <xdr:from>
      <xdr:col>3</xdr:col>
      <xdr:colOff>726280</xdr:colOff>
      <xdr:row>15</xdr:row>
      <xdr:rowOff>83344</xdr:rowOff>
    </xdr:from>
    <xdr:to>
      <xdr:col>5</xdr:col>
      <xdr:colOff>488156</xdr:colOff>
      <xdr:row>19</xdr:row>
      <xdr:rowOff>71438</xdr:rowOff>
    </xdr:to>
    <xdr:sp macro="" textlink="">
      <xdr:nvSpPr>
        <xdr:cNvPr id="28" name="Horizontales Scrollen 27"/>
        <xdr:cNvSpPr/>
      </xdr:nvSpPr>
      <xdr:spPr>
        <a:xfrm>
          <a:off x="4036218" y="3643313"/>
          <a:ext cx="1357313" cy="940594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l/kg auf das behandelte Band bezogen</a:t>
          </a:r>
        </a:p>
      </xdr:txBody>
    </xdr:sp>
    <xdr:clientData/>
  </xdr:twoCellAnchor>
  <xdr:twoCellAnchor>
    <xdr:from>
      <xdr:col>5</xdr:col>
      <xdr:colOff>666749</xdr:colOff>
      <xdr:row>12</xdr:row>
      <xdr:rowOff>71437</xdr:rowOff>
    </xdr:from>
    <xdr:to>
      <xdr:col>7</xdr:col>
      <xdr:colOff>88105</xdr:colOff>
      <xdr:row>19</xdr:row>
      <xdr:rowOff>80962</xdr:rowOff>
    </xdr:to>
    <xdr:grpSp>
      <xdr:nvGrpSpPr>
        <xdr:cNvPr id="29" name="Group 329"/>
        <xdr:cNvGrpSpPr>
          <a:grpSpLocks/>
        </xdr:cNvGrpSpPr>
      </xdr:nvGrpSpPr>
      <xdr:grpSpPr bwMode="auto">
        <a:xfrm>
          <a:off x="5572124" y="2917031"/>
          <a:ext cx="2076450" cy="1676400"/>
          <a:chOff x="823" y="40"/>
          <a:chExt cx="201" cy="165"/>
        </a:xfrm>
      </xdr:grpSpPr>
      <xdr:grpSp>
        <xdr:nvGrpSpPr>
          <xdr:cNvPr id="30" name="Group 330"/>
          <xdr:cNvGrpSpPr>
            <a:grpSpLocks noChangeAspect="1"/>
          </xdr:cNvGrpSpPr>
        </xdr:nvGrpSpPr>
        <xdr:grpSpPr bwMode="auto">
          <a:xfrm>
            <a:off x="823" y="40"/>
            <a:ext cx="201" cy="165"/>
            <a:chOff x="1080" y="1414"/>
            <a:chExt cx="2538" cy="2084"/>
          </a:xfrm>
        </xdr:grpSpPr>
        <xdr:grpSp>
          <xdr:nvGrpSpPr>
            <xdr:cNvPr id="32" name="Group 331"/>
            <xdr:cNvGrpSpPr>
              <a:grpSpLocks noChangeAspect="1"/>
            </xdr:cNvGrpSpPr>
          </xdr:nvGrpSpPr>
          <xdr:grpSpPr bwMode="auto">
            <a:xfrm>
              <a:off x="1294" y="3229"/>
              <a:ext cx="185" cy="205"/>
              <a:chOff x="2293" y="3490"/>
              <a:chExt cx="65" cy="72"/>
            </a:xfrm>
          </xdr:grpSpPr>
          <xdr:sp macro="" textlink="">
            <xdr:nvSpPr>
              <xdr:cNvPr id="250" name="Freeform 332"/>
              <xdr:cNvSpPr>
                <a:spLocks noChangeAspect="1"/>
              </xdr:cNvSpPr>
            </xdr:nvSpPr>
            <xdr:spPr bwMode="auto">
              <a:xfrm>
                <a:off x="2332" y="3536"/>
                <a:ext cx="5" cy="6"/>
              </a:xfrm>
              <a:custGeom>
                <a:avLst/>
                <a:gdLst>
                  <a:gd name="T0" fmla="*/ 0 w 39"/>
                  <a:gd name="T1" fmla="*/ 1 h 37"/>
                  <a:gd name="T2" fmla="*/ 0 w 39"/>
                  <a:gd name="T3" fmla="*/ 1 h 37"/>
                  <a:gd name="T4" fmla="*/ 1 w 39"/>
                  <a:gd name="T5" fmla="*/ 0 h 37"/>
                  <a:gd name="T6" fmla="*/ 1 w 39"/>
                  <a:gd name="T7" fmla="*/ 0 h 37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9" h="37">
                    <a:moveTo>
                      <a:pt x="0" y="37"/>
                    </a:moveTo>
                    <a:lnTo>
                      <a:pt x="27" y="26"/>
                    </a:lnTo>
                    <a:lnTo>
                      <a:pt x="38" y="0"/>
                    </a:lnTo>
                    <a:lnTo>
                      <a:pt x="3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1" name="Freeform 333"/>
              <xdr:cNvSpPr>
                <a:spLocks noChangeAspect="1"/>
              </xdr:cNvSpPr>
            </xdr:nvSpPr>
            <xdr:spPr bwMode="auto">
              <a:xfrm>
                <a:off x="2327" y="3530"/>
                <a:ext cx="6" cy="7"/>
              </a:xfrm>
              <a:custGeom>
                <a:avLst/>
                <a:gdLst>
                  <a:gd name="T0" fmla="*/ 0 w 48"/>
                  <a:gd name="T1" fmla="*/ 1 h 49"/>
                  <a:gd name="T2" fmla="*/ 1 w 48"/>
                  <a:gd name="T3" fmla="*/ 1 h 49"/>
                  <a:gd name="T4" fmla="*/ 1 w 48"/>
                  <a:gd name="T5" fmla="*/ 0 h 49"/>
                  <a:gd name="T6" fmla="*/ 1 w 48"/>
                  <a:gd name="T7" fmla="*/ 0 h 49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48" h="49">
                    <a:moveTo>
                      <a:pt x="0" y="49"/>
                    </a:moveTo>
                    <a:lnTo>
                      <a:pt x="34" y="35"/>
                    </a:lnTo>
                    <a:lnTo>
                      <a:pt x="47" y="0"/>
                    </a:lnTo>
                    <a:lnTo>
                      <a:pt x="4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2" name="Freeform 334"/>
              <xdr:cNvSpPr>
                <a:spLocks noChangeAspect="1"/>
              </xdr:cNvSpPr>
            </xdr:nvSpPr>
            <xdr:spPr bwMode="auto">
              <a:xfrm>
                <a:off x="2326" y="3557"/>
                <a:ext cx="1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3" name="Freeform 335"/>
              <xdr:cNvSpPr>
                <a:spLocks noChangeAspect="1"/>
              </xdr:cNvSpPr>
            </xdr:nvSpPr>
            <xdr:spPr bwMode="auto">
              <a:xfrm>
                <a:off x="2332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4" name="Freeform 336"/>
              <xdr:cNvSpPr>
                <a:spLocks noChangeAspect="1"/>
              </xdr:cNvSpPr>
            </xdr:nvSpPr>
            <xdr:spPr bwMode="auto">
              <a:xfrm>
                <a:off x="2327" y="3524"/>
                <a:ext cx="0" cy="7"/>
              </a:xfrm>
              <a:custGeom>
                <a:avLst/>
                <a:gdLst>
                  <a:gd name="T0" fmla="*/ 0 w 1"/>
                  <a:gd name="T1" fmla="*/ 1 h 50"/>
                  <a:gd name="T2" fmla="*/ 0 w 1"/>
                  <a:gd name="T3" fmla="*/ 0 h 50"/>
                  <a:gd name="T4" fmla="*/ 1 w 1"/>
                  <a:gd name="T5" fmla="*/ 0 h 5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0">
                    <a:moveTo>
                      <a:pt x="0" y="5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5" name="Freeform 337"/>
              <xdr:cNvSpPr>
                <a:spLocks noChangeAspect="1"/>
              </xdr:cNvSpPr>
            </xdr:nvSpPr>
            <xdr:spPr bwMode="auto">
              <a:xfrm>
                <a:off x="2326" y="3513"/>
                <a:ext cx="1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6" name="Freeform 338"/>
              <xdr:cNvSpPr>
                <a:spLocks noChangeAspect="1"/>
              </xdr:cNvSpPr>
            </xdr:nvSpPr>
            <xdr:spPr bwMode="auto">
              <a:xfrm>
                <a:off x="232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7" name="Freeform 339"/>
              <xdr:cNvSpPr>
                <a:spLocks noChangeAspect="1"/>
              </xdr:cNvSpPr>
            </xdr:nvSpPr>
            <xdr:spPr bwMode="auto">
              <a:xfrm>
                <a:off x="2327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8" name="Freeform 340"/>
              <xdr:cNvSpPr>
                <a:spLocks noChangeAspect="1"/>
              </xdr:cNvSpPr>
            </xdr:nvSpPr>
            <xdr:spPr bwMode="auto">
              <a:xfrm>
                <a:off x="2332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9" name="Freeform 341"/>
              <xdr:cNvSpPr>
                <a:spLocks noChangeAspect="1"/>
              </xdr:cNvSpPr>
            </xdr:nvSpPr>
            <xdr:spPr bwMode="auto">
              <a:xfrm>
                <a:off x="2358" y="3510"/>
                <a:ext cx="0" cy="14"/>
              </a:xfrm>
              <a:custGeom>
                <a:avLst/>
                <a:gdLst>
                  <a:gd name="T0" fmla="*/ 0 w 1"/>
                  <a:gd name="T1" fmla="*/ 0 h 97"/>
                  <a:gd name="T2" fmla="*/ 0 w 1"/>
                  <a:gd name="T3" fmla="*/ 2 h 97"/>
                  <a:gd name="T4" fmla="*/ 1 w 1"/>
                  <a:gd name="T5" fmla="*/ 2 h 9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7">
                    <a:moveTo>
                      <a:pt x="0" y="0"/>
                    </a:moveTo>
                    <a:lnTo>
                      <a:pt x="0" y="97"/>
                    </a:lnTo>
                    <a:lnTo>
                      <a:pt x="1" y="9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0" name="Freeform 342"/>
              <xdr:cNvSpPr>
                <a:spLocks noChangeAspect="1"/>
              </xdr:cNvSpPr>
            </xdr:nvSpPr>
            <xdr:spPr bwMode="auto">
              <a:xfrm>
                <a:off x="2348" y="3516"/>
                <a:ext cx="1" cy="8"/>
              </a:xfrm>
              <a:custGeom>
                <a:avLst/>
                <a:gdLst>
                  <a:gd name="T0" fmla="*/ 0 w 1"/>
                  <a:gd name="T1" fmla="*/ 0 h 55"/>
                  <a:gd name="T2" fmla="*/ 0 w 1"/>
                  <a:gd name="T3" fmla="*/ 1 h 55"/>
                  <a:gd name="T4" fmla="*/ 1 w 1"/>
                  <a:gd name="T5" fmla="*/ 1 h 5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5">
                    <a:moveTo>
                      <a:pt x="0" y="0"/>
                    </a:moveTo>
                    <a:lnTo>
                      <a:pt x="0" y="55"/>
                    </a:lnTo>
                    <a:lnTo>
                      <a:pt x="1" y="55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1" name="Freeform 343"/>
              <xdr:cNvSpPr>
                <a:spLocks noChangeAspect="1"/>
              </xdr:cNvSpPr>
            </xdr:nvSpPr>
            <xdr:spPr bwMode="auto">
              <a:xfrm>
                <a:off x="2348" y="3519"/>
                <a:ext cx="7" cy="11"/>
              </a:xfrm>
              <a:custGeom>
                <a:avLst/>
                <a:gdLst>
                  <a:gd name="T0" fmla="*/ 0 w 50"/>
                  <a:gd name="T1" fmla="*/ 2 h 77"/>
                  <a:gd name="T2" fmla="*/ 1 w 50"/>
                  <a:gd name="T3" fmla="*/ 0 h 77"/>
                  <a:gd name="T4" fmla="*/ 1 w 50"/>
                  <a:gd name="T5" fmla="*/ 0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0" h="77">
                    <a:moveTo>
                      <a:pt x="0" y="77"/>
                    </a:moveTo>
                    <a:lnTo>
                      <a:pt x="49" y="0"/>
                    </a:lnTo>
                    <a:lnTo>
                      <a:pt x="5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2" name="Freeform 344"/>
              <xdr:cNvSpPr>
                <a:spLocks noChangeAspect="1"/>
              </xdr:cNvSpPr>
            </xdr:nvSpPr>
            <xdr:spPr bwMode="auto">
              <a:xfrm>
                <a:off x="2347" y="3545"/>
                <a:ext cx="2" cy="2"/>
              </a:xfrm>
              <a:custGeom>
                <a:avLst/>
                <a:gdLst>
                  <a:gd name="T0" fmla="*/ 0 w 8"/>
                  <a:gd name="T1" fmla="*/ 0 h 13"/>
                  <a:gd name="T2" fmla="*/ 1 w 8"/>
                  <a:gd name="T3" fmla="*/ 0 h 13"/>
                  <a:gd name="T4" fmla="*/ 1 w 8"/>
                  <a:gd name="T5" fmla="*/ 0 h 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13">
                    <a:moveTo>
                      <a:pt x="0" y="13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3" name="Freeform 345"/>
              <xdr:cNvSpPr>
                <a:spLocks noChangeAspect="1"/>
              </xdr:cNvSpPr>
            </xdr:nvSpPr>
            <xdr:spPr bwMode="auto">
              <a:xfrm>
                <a:off x="2347" y="3547"/>
                <a:ext cx="1" cy="2"/>
              </a:xfrm>
              <a:custGeom>
                <a:avLst/>
                <a:gdLst>
                  <a:gd name="T0" fmla="*/ 0 w 7"/>
                  <a:gd name="T1" fmla="*/ 0 h 14"/>
                  <a:gd name="T2" fmla="*/ 0 w 7"/>
                  <a:gd name="T3" fmla="*/ 0 h 14"/>
                  <a:gd name="T4" fmla="*/ 0 w 7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14">
                    <a:moveTo>
                      <a:pt x="7" y="1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4" name="Freeform 346"/>
              <xdr:cNvSpPr>
                <a:spLocks noChangeAspect="1"/>
              </xdr:cNvSpPr>
            </xdr:nvSpPr>
            <xdr:spPr bwMode="auto">
              <a:xfrm>
                <a:off x="2347" y="3557"/>
                <a:ext cx="1" cy="3"/>
              </a:xfrm>
              <a:custGeom>
                <a:avLst/>
                <a:gdLst>
                  <a:gd name="T0" fmla="*/ 0 w 7"/>
                  <a:gd name="T1" fmla="*/ 0 h 23"/>
                  <a:gd name="T2" fmla="*/ 0 w 7"/>
                  <a:gd name="T3" fmla="*/ 0 h 23"/>
                  <a:gd name="T4" fmla="*/ 0 w 7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23">
                    <a:moveTo>
                      <a:pt x="7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5" name="Freeform 347"/>
              <xdr:cNvSpPr>
                <a:spLocks noChangeAspect="1"/>
              </xdr:cNvSpPr>
            </xdr:nvSpPr>
            <xdr:spPr bwMode="auto">
              <a:xfrm>
                <a:off x="2337" y="3549"/>
                <a:ext cx="11" cy="0"/>
              </a:xfrm>
              <a:custGeom>
                <a:avLst/>
                <a:gdLst>
                  <a:gd name="T0" fmla="*/ 1 w 91"/>
                  <a:gd name="T1" fmla="*/ 0 w 91"/>
                  <a:gd name="T2" fmla="*/ 0 w 91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1">
                    <a:moveTo>
                      <a:pt x="91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6" name="Freeform 348"/>
              <xdr:cNvSpPr>
                <a:spLocks noChangeAspect="1"/>
              </xdr:cNvSpPr>
            </xdr:nvSpPr>
            <xdr:spPr bwMode="auto">
              <a:xfrm>
                <a:off x="2347" y="3524"/>
                <a:ext cx="1" cy="2"/>
              </a:xfrm>
              <a:custGeom>
                <a:avLst/>
                <a:gdLst>
                  <a:gd name="T0" fmla="*/ 0 w 7"/>
                  <a:gd name="T1" fmla="*/ 0 h 14"/>
                  <a:gd name="T2" fmla="*/ 0 w 7"/>
                  <a:gd name="T3" fmla="*/ 0 h 14"/>
                  <a:gd name="T4" fmla="*/ 0 w 7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14">
                    <a:moveTo>
                      <a:pt x="7" y="0"/>
                    </a:moveTo>
                    <a:lnTo>
                      <a:pt x="0" y="14"/>
                    </a:lnTo>
                    <a:lnTo>
                      <a:pt x="1" y="1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7" name="Freeform 349"/>
              <xdr:cNvSpPr>
                <a:spLocks noChangeAspect="1"/>
              </xdr:cNvSpPr>
            </xdr:nvSpPr>
            <xdr:spPr bwMode="auto">
              <a:xfrm>
                <a:off x="2347" y="3526"/>
                <a:ext cx="2" cy="2"/>
              </a:xfrm>
              <a:custGeom>
                <a:avLst/>
                <a:gdLst>
                  <a:gd name="T0" fmla="*/ 0 w 8"/>
                  <a:gd name="T1" fmla="*/ 0 h 13"/>
                  <a:gd name="T2" fmla="*/ 1 w 8"/>
                  <a:gd name="T3" fmla="*/ 0 h 13"/>
                  <a:gd name="T4" fmla="*/ 1 w 8"/>
                  <a:gd name="T5" fmla="*/ 0 h 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13">
                    <a:moveTo>
                      <a:pt x="0" y="0"/>
                    </a:moveTo>
                    <a:lnTo>
                      <a:pt x="7" y="13"/>
                    </a:lnTo>
                    <a:lnTo>
                      <a:pt x="8" y="1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8" name="Freeform 350"/>
              <xdr:cNvSpPr>
                <a:spLocks noChangeAspect="1"/>
              </xdr:cNvSpPr>
            </xdr:nvSpPr>
            <xdr:spPr bwMode="auto">
              <a:xfrm>
                <a:off x="2337" y="3524"/>
                <a:ext cx="11" cy="0"/>
              </a:xfrm>
              <a:custGeom>
                <a:avLst/>
                <a:gdLst>
                  <a:gd name="T0" fmla="*/ 1 w 91"/>
                  <a:gd name="T1" fmla="*/ 0 w 91"/>
                  <a:gd name="T2" fmla="*/ 0 w 91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1">
                    <a:moveTo>
                      <a:pt x="91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9" name="Freeform 351"/>
              <xdr:cNvSpPr>
                <a:spLocks noChangeAspect="1"/>
              </xdr:cNvSpPr>
            </xdr:nvSpPr>
            <xdr:spPr bwMode="auto">
              <a:xfrm>
                <a:off x="2333" y="3525"/>
                <a:ext cx="0" cy="5"/>
              </a:xfrm>
              <a:custGeom>
                <a:avLst/>
                <a:gdLst>
                  <a:gd name="T0" fmla="*/ 0 w 1"/>
                  <a:gd name="T1" fmla="*/ 1 h 31"/>
                  <a:gd name="T2" fmla="*/ 0 w 1"/>
                  <a:gd name="T3" fmla="*/ 0 h 31"/>
                  <a:gd name="T4" fmla="*/ 1 w 1"/>
                  <a:gd name="T5" fmla="*/ 0 h 3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1">
                    <a:moveTo>
                      <a:pt x="0" y="3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0" name="Freeform 352"/>
              <xdr:cNvSpPr>
                <a:spLocks noChangeAspect="1"/>
              </xdr:cNvSpPr>
            </xdr:nvSpPr>
            <xdr:spPr bwMode="auto">
              <a:xfrm>
                <a:off x="2337" y="3524"/>
                <a:ext cx="0" cy="12"/>
              </a:xfrm>
              <a:custGeom>
                <a:avLst/>
                <a:gdLst>
                  <a:gd name="T0" fmla="*/ 0 w 1"/>
                  <a:gd name="T1" fmla="*/ 2 h 89"/>
                  <a:gd name="T2" fmla="*/ 0 w 1"/>
                  <a:gd name="T3" fmla="*/ 0 h 89"/>
                  <a:gd name="T4" fmla="*/ 1 w 1"/>
                  <a:gd name="T5" fmla="*/ 0 h 8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89">
                    <a:moveTo>
                      <a:pt x="0" y="89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1" name="Freeform 353"/>
              <xdr:cNvSpPr>
                <a:spLocks noChangeAspect="1"/>
              </xdr:cNvSpPr>
            </xdr:nvSpPr>
            <xdr:spPr bwMode="auto">
              <a:xfrm>
                <a:off x="2345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2" name="Freeform 354"/>
              <xdr:cNvSpPr>
                <a:spLocks noChangeAspect="1"/>
              </xdr:cNvSpPr>
            </xdr:nvSpPr>
            <xdr:spPr bwMode="auto">
              <a:xfrm>
                <a:off x="2337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3" name="Freeform 355"/>
              <xdr:cNvSpPr>
                <a:spLocks noChangeAspect="1"/>
              </xdr:cNvSpPr>
            </xdr:nvSpPr>
            <xdr:spPr bwMode="auto">
              <a:xfrm>
                <a:off x="2341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4" name="Freeform 356"/>
              <xdr:cNvSpPr>
                <a:spLocks noChangeAspect="1"/>
              </xdr:cNvSpPr>
            </xdr:nvSpPr>
            <xdr:spPr bwMode="auto">
              <a:xfrm>
                <a:off x="2348" y="3528"/>
                <a:ext cx="1" cy="17"/>
              </a:xfrm>
              <a:custGeom>
                <a:avLst/>
                <a:gdLst>
                  <a:gd name="T0" fmla="*/ 0 w 1"/>
                  <a:gd name="T1" fmla="*/ 0 h 120"/>
                  <a:gd name="T2" fmla="*/ 0 w 1"/>
                  <a:gd name="T3" fmla="*/ 2 h 120"/>
                  <a:gd name="T4" fmla="*/ 1 w 1"/>
                  <a:gd name="T5" fmla="*/ 2 h 12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20">
                    <a:moveTo>
                      <a:pt x="0" y="0"/>
                    </a:moveTo>
                    <a:lnTo>
                      <a:pt x="0" y="120"/>
                    </a:lnTo>
                    <a:lnTo>
                      <a:pt x="1" y="12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5" name="Freeform 357"/>
              <xdr:cNvSpPr>
                <a:spLocks noChangeAspect="1"/>
              </xdr:cNvSpPr>
            </xdr:nvSpPr>
            <xdr:spPr bwMode="auto">
              <a:xfrm>
                <a:off x="2350" y="3530"/>
                <a:ext cx="0" cy="13"/>
              </a:xfrm>
              <a:custGeom>
                <a:avLst/>
                <a:gdLst>
                  <a:gd name="T0" fmla="*/ 0 w 1"/>
                  <a:gd name="T1" fmla="*/ 0 h 90"/>
                  <a:gd name="T2" fmla="*/ 0 w 1"/>
                  <a:gd name="T3" fmla="*/ 2 h 90"/>
                  <a:gd name="T4" fmla="*/ 1 w 1"/>
                  <a:gd name="T5" fmla="*/ 2 h 9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0">
                    <a:moveTo>
                      <a:pt x="0" y="0"/>
                    </a:moveTo>
                    <a:lnTo>
                      <a:pt x="0" y="90"/>
                    </a:lnTo>
                    <a:lnTo>
                      <a:pt x="1" y="9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6" name="Freeform 358"/>
              <xdr:cNvSpPr>
                <a:spLocks noChangeAspect="1"/>
              </xdr:cNvSpPr>
            </xdr:nvSpPr>
            <xdr:spPr bwMode="auto">
              <a:xfrm>
                <a:off x="2356" y="3530"/>
                <a:ext cx="0" cy="12"/>
              </a:xfrm>
              <a:custGeom>
                <a:avLst/>
                <a:gdLst>
                  <a:gd name="T0" fmla="*/ 0 w 1"/>
                  <a:gd name="T1" fmla="*/ 0 h 82"/>
                  <a:gd name="T2" fmla="*/ 0 w 1"/>
                  <a:gd name="T3" fmla="*/ 2 h 82"/>
                  <a:gd name="T4" fmla="*/ 1 w 1"/>
                  <a:gd name="T5" fmla="*/ 2 h 8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82">
                    <a:moveTo>
                      <a:pt x="0" y="0"/>
                    </a:moveTo>
                    <a:lnTo>
                      <a:pt x="0" y="82"/>
                    </a:lnTo>
                    <a:lnTo>
                      <a:pt x="1" y="8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7" name="Freeform 359"/>
              <xdr:cNvSpPr>
                <a:spLocks noChangeAspect="1"/>
              </xdr:cNvSpPr>
            </xdr:nvSpPr>
            <xdr:spPr bwMode="auto">
              <a:xfrm>
                <a:off x="2354" y="3562"/>
                <a:ext cx="4" cy="0"/>
              </a:xfrm>
              <a:custGeom>
                <a:avLst/>
                <a:gdLst>
                  <a:gd name="T0" fmla="*/ 0 w 30"/>
                  <a:gd name="T1" fmla="*/ 1 w 30"/>
                  <a:gd name="T2" fmla="*/ 1 w 3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">
                    <a:moveTo>
                      <a:pt x="0" y="0"/>
                    </a:moveTo>
                    <a:lnTo>
                      <a:pt x="29" y="0"/>
                    </a:lnTo>
                    <a:lnTo>
                      <a:pt x="3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8" name="Freeform 360"/>
              <xdr:cNvSpPr>
                <a:spLocks noChangeAspect="1"/>
              </xdr:cNvSpPr>
            </xdr:nvSpPr>
            <xdr:spPr bwMode="auto">
              <a:xfrm>
                <a:off x="2348" y="3542"/>
                <a:ext cx="7" cy="11"/>
              </a:xfrm>
              <a:custGeom>
                <a:avLst/>
                <a:gdLst>
                  <a:gd name="T0" fmla="*/ 0 w 50"/>
                  <a:gd name="T1" fmla="*/ 0 h 77"/>
                  <a:gd name="T2" fmla="*/ 1 w 50"/>
                  <a:gd name="T3" fmla="*/ 2 h 77"/>
                  <a:gd name="T4" fmla="*/ 1 w 50"/>
                  <a:gd name="T5" fmla="*/ 2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0" h="77">
                    <a:moveTo>
                      <a:pt x="0" y="0"/>
                    </a:moveTo>
                    <a:lnTo>
                      <a:pt x="49" y="77"/>
                    </a:lnTo>
                    <a:lnTo>
                      <a:pt x="50" y="7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9" name="Freeform 361"/>
              <xdr:cNvSpPr>
                <a:spLocks noChangeAspect="1"/>
              </xdr:cNvSpPr>
            </xdr:nvSpPr>
            <xdr:spPr bwMode="auto">
              <a:xfrm>
                <a:off x="2348" y="3549"/>
                <a:ext cx="1" cy="8"/>
              </a:xfrm>
              <a:custGeom>
                <a:avLst/>
                <a:gdLst>
                  <a:gd name="T0" fmla="*/ 0 w 1"/>
                  <a:gd name="T1" fmla="*/ 1 h 55"/>
                  <a:gd name="T2" fmla="*/ 0 w 1"/>
                  <a:gd name="T3" fmla="*/ 0 h 55"/>
                  <a:gd name="T4" fmla="*/ 1 w 1"/>
                  <a:gd name="T5" fmla="*/ 0 h 5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5">
                    <a:moveTo>
                      <a:pt x="0" y="5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0" name="Freeform 362"/>
              <xdr:cNvSpPr>
                <a:spLocks noChangeAspect="1"/>
              </xdr:cNvSpPr>
            </xdr:nvSpPr>
            <xdr:spPr bwMode="auto">
              <a:xfrm>
                <a:off x="2354" y="3553"/>
                <a:ext cx="1" cy="9"/>
              </a:xfrm>
              <a:custGeom>
                <a:avLst/>
                <a:gdLst>
                  <a:gd name="T0" fmla="*/ 0 w 1"/>
                  <a:gd name="T1" fmla="*/ 0 h 63"/>
                  <a:gd name="T2" fmla="*/ 0 w 1"/>
                  <a:gd name="T3" fmla="*/ 1 h 63"/>
                  <a:gd name="T4" fmla="*/ 1 w 1"/>
                  <a:gd name="T5" fmla="*/ 1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0"/>
                    </a:moveTo>
                    <a:lnTo>
                      <a:pt x="0" y="63"/>
                    </a:lnTo>
                    <a:lnTo>
                      <a:pt x="1" y="6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1" name="Freeform 363"/>
              <xdr:cNvSpPr>
                <a:spLocks noChangeAspect="1"/>
              </xdr:cNvSpPr>
            </xdr:nvSpPr>
            <xdr:spPr bwMode="auto">
              <a:xfrm>
                <a:off x="2356" y="3542"/>
                <a:ext cx="2" cy="6"/>
              </a:xfrm>
              <a:custGeom>
                <a:avLst/>
                <a:gdLst>
                  <a:gd name="T0" fmla="*/ 0 w 19"/>
                  <a:gd name="T1" fmla="*/ 1 h 43"/>
                  <a:gd name="T2" fmla="*/ 0 w 19"/>
                  <a:gd name="T3" fmla="*/ 0 h 43"/>
                  <a:gd name="T4" fmla="*/ 0 w 19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43">
                    <a:moveTo>
                      <a:pt x="19" y="4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2" name="Freeform 364"/>
              <xdr:cNvSpPr>
                <a:spLocks noChangeAspect="1"/>
              </xdr:cNvSpPr>
            </xdr:nvSpPr>
            <xdr:spPr bwMode="auto">
              <a:xfrm>
                <a:off x="2358" y="3548"/>
                <a:ext cx="0" cy="14"/>
              </a:xfrm>
              <a:custGeom>
                <a:avLst/>
                <a:gdLst>
                  <a:gd name="T0" fmla="*/ 0 w 1"/>
                  <a:gd name="T1" fmla="*/ 2 h 98"/>
                  <a:gd name="T2" fmla="*/ 0 w 1"/>
                  <a:gd name="T3" fmla="*/ 0 h 98"/>
                  <a:gd name="T4" fmla="*/ 1 w 1"/>
                  <a:gd name="T5" fmla="*/ 0 h 9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8">
                    <a:moveTo>
                      <a:pt x="0" y="9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3" name="Freeform 365"/>
              <xdr:cNvSpPr>
                <a:spLocks noChangeAspect="1"/>
              </xdr:cNvSpPr>
            </xdr:nvSpPr>
            <xdr:spPr bwMode="auto">
              <a:xfrm>
                <a:off x="2356" y="3524"/>
                <a:ext cx="2" cy="6"/>
              </a:xfrm>
              <a:custGeom>
                <a:avLst/>
                <a:gdLst>
                  <a:gd name="T0" fmla="*/ 0 w 19"/>
                  <a:gd name="T1" fmla="*/ 0 h 43"/>
                  <a:gd name="T2" fmla="*/ 0 w 19"/>
                  <a:gd name="T3" fmla="*/ 1 h 43"/>
                  <a:gd name="T4" fmla="*/ 0 w 19"/>
                  <a:gd name="T5" fmla="*/ 1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43">
                    <a:moveTo>
                      <a:pt x="19" y="0"/>
                    </a:moveTo>
                    <a:lnTo>
                      <a:pt x="0" y="43"/>
                    </a:lnTo>
                    <a:lnTo>
                      <a:pt x="1" y="4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4" name="Freeform 366"/>
              <xdr:cNvSpPr>
                <a:spLocks noChangeAspect="1"/>
              </xdr:cNvSpPr>
            </xdr:nvSpPr>
            <xdr:spPr bwMode="auto">
              <a:xfrm>
                <a:off x="2347" y="3513"/>
                <a:ext cx="1" cy="3"/>
              </a:xfrm>
              <a:custGeom>
                <a:avLst/>
                <a:gdLst>
                  <a:gd name="T0" fmla="*/ 0 w 7"/>
                  <a:gd name="T1" fmla="*/ 0 h 23"/>
                  <a:gd name="T2" fmla="*/ 0 w 7"/>
                  <a:gd name="T3" fmla="*/ 0 h 23"/>
                  <a:gd name="T4" fmla="*/ 0 w 7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23">
                    <a:moveTo>
                      <a:pt x="7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5" name="Freeform 367"/>
              <xdr:cNvSpPr>
                <a:spLocks noChangeAspect="1"/>
              </xdr:cNvSpPr>
            </xdr:nvSpPr>
            <xdr:spPr bwMode="auto">
              <a:xfrm>
                <a:off x="2335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6" name="Freeform 368"/>
              <xdr:cNvSpPr>
                <a:spLocks noChangeAspect="1"/>
              </xdr:cNvSpPr>
            </xdr:nvSpPr>
            <xdr:spPr bwMode="auto">
              <a:xfrm>
                <a:off x="2345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7" name="Freeform 369"/>
              <xdr:cNvSpPr>
                <a:spLocks noChangeAspect="1"/>
              </xdr:cNvSpPr>
            </xdr:nvSpPr>
            <xdr:spPr bwMode="auto">
              <a:xfrm>
                <a:off x="2341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8" name="Freeform 370"/>
              <xdr:cNvSpPr>
                <a:spLocks noChangeAspect="1"/>
              </xdr:cNvSpPr>
            </xdr:nvSpPr>
            <xdr:spPr bwMode="auto">
              <a:xfrm>
                <a:off x="2337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9" name="Freeform 371"/>
              <xdr:cNvSpPr>
                <a:spLocks noChangeAspect="1"/>
              </xdr:cNvSpPr>
            </xdr:nvSpPr>
            <xdr:spPr bwMode="auto">
              <a:xfrm>
                <a:off x="2348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0" name="Freeform 372"/>
              <xdr:cNvSpPr>
                <a:spLocks noChangeAspect="1"/>
              </xdr:cNvSpPr>
            </xdr:nvSpPr>
            <xdr:spPr bwMode="auto">
              <a:xfrm>
                <a:off x="2344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1" name="Freeform 373"/>
              <xdr:cNvSpPr>
                <a:spLocks noChangeAspect="1"/>
              </xdr:cNvSpPr>
            </xdr:nvSpPr>
            <xdr:spPr bwMode="auto">
              <a:xfrm>
                <a:off x="2345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2" name="Freeform 374"/>
              <xdr:cNvSpPr>
                <a:spLocks noChangeAspect="1"/>
              </xdr:cNvSpPr>
            </xdr:nvSpPr>
            <xdr:spPr bwMode="auto">
              <a:xfrm>
                <a:off x="233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3" name="Freeform 375"/>
              <xdr:cNvSpPr>
                <a:spLocks noChangeAspect="1"/>
              </xdr:cNvSpPr>
            </xdr:nvSpPr>
            <xdr:spPr bwMode="auto">
              <a:xfrm>
                <a:off x="2336" y="3506"/>
                <a:ext cx="1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4" name="Freeform 376"/>
              <xdr:cNvSpPr>
                <a:spLocks noChangeAspect="1"/>
              </xdr:cNvSpPr>
            </xdr:nvSpPr>
            <xdr:spPr bwMode="auto">
              <a:xfrm>
                <a:off x="2342" y="3490"/>
                <a:ext cx="0" cy="6"/>
              </a:xfrm>
              <a:custGeom>
                <a:avLst/>
                <a:gdLst>
                  <a:gd name="T0" fmla="*/ 0 w 2"/>
                  <a:gd name="T1" fmla="*/ 1 h 41"/>
                  <a:gd name="T2" fmla="*/ 0 w 2"/>
                  <a:gd name="T3" fmla="*/ 0 h 41"/>
                  <a:gd name="T4" fmla="*/ 1 w 2"/>
                  <a:gd name="T5" fmla="*/ 0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41">
                    <a:moveTo>
                      <a:pt x="0" y="41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5" name="Freeform 377"/>
              <xdr:cNvSpPr>
                <a:spLocks noChangeAspect="1"/>
              </xdr:cNvSpPr>
            </xdr:nvSpPr>
            <xdr:spPr bwMode="auto">
              <a:xfrm>
                <a:off x="2344" y="3496"/>
                <a:ext cx="0" cy="3"/>
              </a:xfrm>
              <a:custGeom>
                <a:avLst/>
                <a:gdLst>
                  <a:gd name="T0" fmla="*/ 0 w 2"/>
                  <a:gd name="T1" fmla="*/ 0 h 24"/>
                  <a:gd name="T2" fmla="*/ 0 w 2"/>
                  <a:gd name="T3" fmla="*/ 0 h 24"/>
                  <a:gd name="T4" fmla="*/ 1 w 2"/>
                  <a:gd name="T5" fmla="*/ 0 h 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24">
                    <a:moveTo>
                      <a:pt x="0" y="0"/>
                    </a:moveTo>
                    <a:lnTo>
                      <a:pt x="0" y="24"/>
                    </a:lnTo>
                    <a:lnTo>
                      <a:pt x="2" y="2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6" name="Freeform 378"/>
              <xdr:cNvSpPr>
                <a:spLocks noChangeAspect="1"/>
              </xdr:cNvSpPr>
            </xdr:nvSpPr>
            <xdr:spPr bwMode="auto">
              <a:xfrm>
                <a:off x="2354" y="3510"/>
                <a:ext cx="1" cy="9"/>
              </a:xfrm>
              <a:custGeom>
                <a:avLst/>
                <a:gdLst>
                  <a:gd name="T0" fmla="*/ 0 w 1"/>
                  <a:gd name="T1" fmla="*/ 1 h 62"/>
                  <a:gd name="T2" fmla="*/ 0 w 1"/>
                  <a:gd name="T3" fmla="*/ 0 h 62"/>
                  <a:gd name="T4" fmla="*/ 1 w 1"/>
                  <a:gd name="T5" fmla="*/ 0 h 6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2">
                    <a:moveTo>
                      <a:pt x="0" y="6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7" name="Freeform 379"/>
              <xdr:cNvSpPr>
                <a:spLocks noChangeAspect="1"/>
              </xdr:cNvSpPr>
            </xdr:nvSpPr>
            <xdr:spPr bwMode="auto">
              <a:xfrm>
                <a:off x="2354" y="3510"/>
                <a:ext cx="4" cy="0"/>
              </a:xfrm>
              <a:custGeom>
                <a:avLst/>
                <a:gdLst>
                  <a:gd name="T0" fmla="*/ 0 w 30"/>
                  <a:gd name="T1" fmla="*/ 1 w 30"/>
                  <a:gd name="T2" fmla="*/ 1 w 3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">
                    <a:moveTo>
                      <a:pt x="0" y="0"/>
                    </a:moveTo>
                    <a:lnTo>
                      <a:pt x="29" y="0"/>
                    </a:lnTo>
                    <a:lnTo>
                      <a:pt x="3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8" name="Freeform 380"/>
              <xdr:cNvSpPr>
                <a:spLocks noChangeAspect="1"/>
              </xdr:cNvSpPr>
            </xdr:nvSpPr>
            <xdr:spPr bwMode="auto">
              <a:xfrm>
                <a:off x="2351" y="3490"/>
                <a:ext cx="0" cy="6"/>
              </a:xfrm>
              <a:custGeom>
                <a:avLst/>
                <a:gdLst>
                  <a:gd name="T0" fmla="*/ 0 w 1"/>
                  <a:gd name="T1" fmla="*/ 0 h 41"/>
                  <a:gd name="T2" fmla="*/ 0 w 1"/>
                  <a:gd name="T3" fmla="*/ 1 h 41"/>
                  <a:gd name="T4" fmla="*/ 1 w 1"/>
                  <a:gd name="T5" fmla="*/ 1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0"/>
                    </a:moveTo>
                    <a:lnTo>
                      <a:pt x="0" y="41"/>
                    </a:lnTo>
                    <a:lnTo>
                      <a:pt x="1" y="41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9" name="Freeform 381"/>
              <xdr:cNvSpPr>
                <a:spLocks noChangeAspect="1"/>
              </xdr:cNvSpPr>
            </xdr:nvSpPr>
            <xdr:spPr bwMode="auto">
              <a:xfrm>
                <a:off x="2315" y="3516"/>
                <a:ext cx="2" cy="6"/>
              </a:xfrm>
              <a:custGeom>
                <a:avLst/>
                <a:gdLst>
                  <a:gd name="T0" fmla="*/ 0 w 16"/>
                  <a:gd name="T1" fmla="*/ 1 h 39"/>
                  <a:gd name="T2" fmla="*/ 0 w 16"/>
                  <a:gd name="T3" fmla="*/ 0 h 39"/>
                  <a:gd name="T4" fmla="*/ 0 w 16"/>
                  <a:gd name="T5" fmla="*/ 0 h 3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6" h="39">
                    <a:moveTo>
                      <a:pt x="16" y="39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0" name="Freeform 382"/>
              <xdr:cNvSpPr>
                <a:spLocks noChangeAspect="1"/>
              </xdr:cNvSpPr>
            </xdr:nvSpPr>
            <xdr:spPr bwMode="auto">
              <a:xfrm>
                <a:off x="2319" y="3536"/>
                <a:ext cx="5" cy="1"/>
              </a:xfrm>
              <a:custGeom>
                <a:avLst/>
                <a:gdLst>
                  <a:gd name="T0" fmla="*/ 1 w 38"/>
                  <a:gd name="T1" fmla="*/ 0 h 13"/>
                  <a:gd name="T2" fmla="*/ 1 w 38"/>
                  <a:gd name="T3" fmla="*/ 0 h 13"/>
                  <a:gd name="T4" fmla="*/ 0 w 38"/>
                  <a:gd name="T5" fmla="*/ 0 h 13"/>
                  <a:gd name="T6" fmla="*/ 1 w 38"/>
                  <a:gd name="T7" fmla="*/ 0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8" h="13">
                    <a:moveTo>
                      <a:pt x="38" y="0"/>
                    </a:moveTo>
                    <a:lnTo>
                      <a:pt x="38" y="13"/>
                    </a:lnTo>
                    <a:lnTo>
                      <a:pt x="0" y="7"/>
                    </a:lnTo>
                    <a:lnTo>
                      <a:pt x="38" y="0"/>
                    </a:lnTo>
                    <a:close/>
                  </a:path>
                </a:pathLst>
              </a:custGeom>
              <a:solidFill>
                <a:srgbClr val="00000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01" name="Freeform 383"/>
              <xdr:cNvSpPr>
                <a:spLocks noChangeAspect="1"/>
              </xdr:cNvSpPr>
            </xdr:nvSpPr>
            <xdr:spPr bwMode="auto">
              <a:xfrm>
                <a:off x="2319" y="3536"/>
                <a:ext cx="5" cy="1"/>
              </a:xfrm>
              <a:custGeom>
                <a:avLst/>
                <a:gdLst>
                  <a:gd name="T0" fmla="*/ 1 w 38"/>
                  <a:gd name="T1" fmla="*/ 0 h 13"/>
                  <a:gd name="T2" fmla="*/ 1 w 38"/>
                  <a:gd name="T3" fmla="*/ 0 h 13"/>
                  <a:gd name="T4" fmla="*/ 0 w 38"/>
                  <a:gd name="T5" fmla="*/ 0 h 13"/>
                  <a:gd name="T6" fmla="*/ 1 w 38"/>
                  <a:gd name="T7" fmla="*/ 0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8" h="13">
                    <a:moveTo>
                      <a:pt x="38" y="0"/>
                    </a:moveTo>
                    <a:lnTo>
                      <a:pt x="38" y="13"/>
                    </a:lnTo>
                    <a:lnTo>
                      <a:pt x="0" y="7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2" name="Freeform 384"/>
              <xdr:cNvSpPr>
                <a:spLocks noChangeAspect="1"/>
              </xdr:cNvSpPr>
            </xdr:nvSpPr>
            <xdr:spPr bwMode="auto">
              <a:xfrm>
                <a:off x="2295" y="3523"/>
                <a:ext cx="0" cy="27"/>
              </a:xfrm>
              <a:custGeom>
                <a:avLst/>
                <a:gdLst>
                  <a:gd name="T0" fmla="*/ 0 w 1"/>
                  <a:gd name="T1" fmla="*/ 0 h 192"/>
                  <a:gd name="T2" fmla="*/ 0 w 1"/>
                  <a:gd name="T3" fmla="*/ 4 h 192"/>
                  <a:gd name="T4" fmla="*/ 1 w 1"/>
                  <a:gd name="T5" fmla="*/ 4 h 1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2">
                    <a:moveTo>
                      <a:pt x="0" y="0"/>
                    </a:moveTo>
                    <a:lnTo>
                      <a:pt x="0" y="192"/>
                    </a:lnTo>
                    <a:lnTo>
                      <a:pt x="1" y="19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3" name="Freeform 385"/>
              <xdr:cNvSpPr>
                <a:spLocks noChangeAspect="1"/>
              </xdr:cNvSpPr>
            </xdr:nvSpPr>
            <xdr:spPr bwMode="auto">
              <a:xfrm>
                <a:off x="2295" y="3550"/>
                <a:ext cx="17" cy="0"/>
              </a:xfrm>
              <a:custGeom>
                <a:avLst/>
                <a:gdLst>
                  <a:gd name="T0" fmla="*/ 0 w 137"/>
                  <a:gd name="T1" fmla="*/ 2 w 137"/>
                  <a:gd name="T2" fmla="*/ 2 w 13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37">
                    <a:moveTo>
                      <a:pt x="0" y="0"/>
                    </a:moveTo>
                    <a:lnTo>
                      <a:pt x="136" y="0"/>
                    </a:lnTo>
                    <a:lnTo>
                      <a:pt x="1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4" name="Freeform 386"/>
              <xdr:cNvSpPr>
                <a:spLocks noChangeAspect="1"/>
              </xdr:cNvSpPr>
            </xdr:nvSpPr>
            <xdr:spPr bwMode="auto">
              <a:xfrm>
                <a:off x="2293" y="3546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5" name="Freeform 387"/>
              <xdr:cNvSpPr>
                <a:spLocks noChangeAspect="1"/>
              </xdr:cNvSpPr>
            </xdr:nvSpPr>
            <xdr:spPr bwMode="auto">
              <a:xfrm>
                <a:off x="2312" y="3547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6" name="Freeform 388"/>
              <xdr:cNvSpPr>
                <a:spLocks noChangeAspect="1"/>
              </xdr:cNvSpPr>
            </xdr:nvSpPr>
            <xdr:spPr bwMode="auto">
              <a:xfrm>
                <a:off x="2315" y="3551"/>
                <a:ext cx="2" cy="6"/>
              </a:xfrm>
              <a:custGeom>
                <a:avLst/>
                <a:gdLst>
                  <a:gd name="T0" fmla="*/ 0 w 16"/>
                  <a:gd name="T1" fmla="*/ 0 h 38"/>
                  <a:gd name="T2" fmla="*/ 0 w 16"/>
                  <a:gd name="T3" fmla="*/ 1 h 38"/>
                  <a:gd name="T4" fmla="*/ 0 w 16"/>
                  <a:gd name="T5" fmla="*/ 1 h 3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6" h="38">
                    <a:moveTo>
                      <a:pt x="16" y="0"/>
                    </a:moveTo>
                    <a:lnTo>
                      <a:pt x="0" y="38"/>
                    </a:lnTo>
                    <a:lnTo>
                      <a:pt x="1" y="38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7" name="Freeform 389"/>
              <xdr:cNvSpPr>
                <a:spLocks noChangeAspect="1"/>
              </xdr:cNvSpPr>
            </xdr:nvSpPr>
            <xdr:spPr bwMode="auto">
              <a:xfrm>
                <a:off x="2315" y="3547"/>
                <a:ext cx="2" cy="2"/>
              </a:xfrm>
              <a:custGeom>
                <a:avLst/>
                <a:gdLst>
                  <a:gd name="T0" fmla="*/ 0 w 14"/>
                  <a:gd name="T1" fmla="*/ 0 h 14"/>
                  <a:gd name="T2" fmla="*/ 0 w 14"/>
                  <a:gd name="T3" fmla="*/ 0 h 14"/>
                  <a:gd name="T4" fmla="*/ 0 w 14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4" h="14">
                    <a:moveTo>
                      <a:pt x="0" y="0"/>
                    </a:moveTo>
                    <a:lnTo>
                      <a:pt x="13" y="14"/>
                    </a:lnTo>
                    <a:lnTo>
                      <a:pt x="14" y="1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8" name="Freeform 390"/>
              <xdr:cNvSpPr>
                <a:spLocks noChangeAspect="1"/>
              </xdr:cNvSpPr>
            </xdr:nvSpPr>
            <xdr:spPr bwMode="auto">
              <a:xfrm>
                <a:off x="2317" y="3549"/>
                <a:ext cx="0" cy="2"/>
              </a:xfrm>
              <a:custGeom>
                <a:avLst/>
                <a:gdLst>
                  <a:gd name="T0" fmla="*/ 1 w 2"/>
                  <a:gd name="T1" fmla="*/ 0 h 16"/>
                  <a:gd name="T2" fmla="*/ 0 w 2"/>
                  <a:gd name="T3" fmla="*/ 0 h 16"/>
                  <a:gd name="T4" fmla="*/ 1 w 2"/>
                  <a:gd name="T5" fmla="*/ 0 h 1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16">
                    <a:moveTo>
                      <a:pt x="2" y="0"/>
                    </a:moveTo>
                    <a:lnTo>
                      <a:pt x="0" y="16"/>
                    </a:lnTo>
                    <a:lnTo>
                      <a:pt x="1" y="1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9" name="Freeform 391"/>
              <xdr:cNvSpPr>
                <a:spLocks noChangeAspect="1"/>
              </xdr:cNvSpPr>
            </xdr:nvSpPr>
            <xdr:spPr bwMode="auto">
              <a:xfrm>
                <a:off x="2315" y="3557"/>
                <a:ext cx="1" cy="3"/>
              </a:xfrm>
              <a:custGeom>
                <a:avLst/>
                <a:gdLst>
                  <a:gd name="T0" fmla="*/ 0 w 8"/>
                  <a:gd name="T1" fmla="*/ 0 h 23"/>
                  <a:gd name="T2" fmla="*/ 0 w 8"/>
                  <a:gd name="T3" fmla="*/ 0 h 23"/>
                  <a:gd name="T4" fmla="*/ 0 w 8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23">
                    <a:moveTo>
                      <a:pt x="0" y="0"/>
                    </a:moveTo>
                    <a:lnTo>
                      <a:pt x="7" y="23"/>
                    </a:lnTo>
                    <a:lnTo>
                      <a:pt x="8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0" name="Freeform 392"/>
              <xdr:cNvSpPr>
                <a:spLocks noChangeAspect="1"/>
              </xdr:cNvSpPr>
            </xdr:nvSpPr>
            <xdr:spPr bwMode="auto">
              <a:xfrm>
                <a:off x="2319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1" name="Freeform 393"/>
              <xdr:cNvSpPr>
                <a:spLocks noChangeAspect="1"/>
              </xdr:cNvSpPr>
            </xdr:nvSpPr>
            <xdr:spPr bwMode="auto">
              <a:xfrm>
                <a:off x="2295" y="3523"/>
                <a:ext cx="17" cy="0"/>
              </a:xfrm>
              <a:custGeom>
                <a:avLst/>
                <a:gdLst>
                  <a:gd name="T0" fmla="*/ 0 w 137"/>
                  <a:gd name="T1" fmla="*/ 2 w 137"/>
                  <a:gd name="T2" fmla="*/ 2 w 13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37">
                    <a:moveTo>
                      <a:pt x="0" y="0"/>
                    </a:moveTo>
                    <a:lnTo>
                      <a:pt x="136" y="0"/>
                    </a:lnTo>
                    <a:lnTo>
                      <a:pt x="1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2" name="Freeform 394"/>
              <xdr:cNvSpPr>
                <a:spLocks noChangeAspect="1"/>
              </xdr:cNvSpPr>
            </xdr:nvSpPr>
            <xdr:spPr bwMode="auto">
              <a:xfrm>
                <a:off x="2293" y="3527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3" name="Freeform 395"/>
              <xdr:cNvSpPr>
                <a:spLocks noChangeAspect="1"/>
              </xdr:cNvSpPr>
            </xdr:nvSpPr>
            <xdr:spPr bwMode="auto">
              <a:xfrm>
                <a:off x="2312" y="3523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0"/>
                    </a:moveTo>
                    <a:lnTo>
                      <a:pt x="23" y="22"/>
                    </a:lnTo>
                    <a:lnTo>
                      <a:pt x="24" y="2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4" name="Freeform 396"/>
              <xdr:cNvSpPr>
                <a:spLocks noChangeAspect="1"/>
              </xdr:cNvSpPr>
            </xdr:nvSpPr>
            <xdr:spPr bwMode="auto">
              <a:xfrm>
                <a:off x="2315" y="3524"/>
                <a:ext cx="2" cy="2"/>
              </a:xfrm>
              <a:custGeom>
                <a:avLst/>
                <a:gdLst>
                  <a:gd name="T0" fmla="*/ 0 w 14"/>
                  <a:gd name="T1" fmla="*/ 0 h 14"/>
                  <a:gd name="T2" fmla="*/ 0 w 14"/>
                  <a:gd name="T3" fmla="*/ 0 h 14"/>
                  <a:gd name="T4" fmla="*/ 0 w 14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4" h="14">
                    <a:moveTo>
                      <a:pt x="0" y="14"/>
                    </a:moveTo>
                    <a:lnTo>
                      <a:pt x="13" y="0"/>
                    </a:lnTo>
                    <a:lnTo>
                      <a:pt x="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5" name="Freeform 397"/>
              <xdr:cNvSpPr>
                <a:spLocks noChangeAspect="1"/>
              </xdr:cNvSpPr>
            </xdr:nvSpPr>
            <xdr:spPr bwMode="auto">
              <a:xfrm>
                <a:off x="2317" y="3522"/>
                <a:ext cx="0" cy="2"/>
              </a:xfrm>
              <a:custGeom>
                <a:avLst/>
                <a:gdLst>
                  <a:gd name="T0" fmla="*/ 1 w 2"/>
                  <a:gd name="T1" fmla="*/ 0 h 15"/>
                  <a:gd name="T2" fmla="*/ 0 w 2"/>
                  <a:gd name="T3" fmla="*/ 0 h 15"/>
                  <a:gd name="T4" fmla="*/ 1 w 2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15">
                    <a:moveTo>
                      <a:pt x="2" y="1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6" name="Freeform 398"/>
              <xdr:cNvSpPr>
                <a:spLocks noChangeAspect="1"/>
              </xdr:cNvSpPr>
            </xdr:nvSpPr>
            <xdr:spPr bwMode="auto">
              <a:xfrm>
                <a:off x="2323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7" name="Freeform 399"/>
              <xdr:cNvSpPr>
                <a:spLocks noChangeAspect="1"/>
              </xdr:cNvSpPr>
            </xdr:nvSpPr>
            <xdr:spPr bwMode="auto">
              <a:xfrm>
                <a:off x="2315" y="3513"/>
                <a:ext cx="1" cy="3"/>
              </a:xfrm>
              <a:custGeom>
                <a:avLst/>
                <a:gdLst>
                  <a:gd name="T0" fmla="*/ 0 w 8"/>
                  <a:gd name="T1" fmla="*/ 0 h 23"/>
                  <a:gd name="T2" fmla="*/ 0 w 8"/>
                  <a:gd name="T3" fmla="*/ 0 h 23"/>
                  <a:gd name="T4" fmla="*/ 0 w 8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23">
                    <a:moveTo>
                      <a:pt x="0" y="23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8" name="Freeform 400"/>
              <xdr:cNvSpPr>
                <a:spLocks noChangeAspect="1"/>
              </xdr:cNvSpPr>
            </xdr:nvSpPr>
            <xdr:spPr bwMode="auto">
              <a:xfrm>
                <a:off x="2319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9" name="Freeform 401"/>
              <xdr:cNvSpPr>
                <a:spLocks noChangeAspect="1"/>
              </xdr:cNvSpPr>
            </xdr:nvSpPr>
            <xdr:spPr bwMode="auto">
              <a:xfrm>
                <a:off x="2316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0" name="Freeform 402"/>
              <xdr:cNvSpPr>
                <a:spLocks noChangeAspect="1"/>
              </xdr:cNvSpPr>
            </xdr:nvSpPr>
            <xdr:spPr bwMode="auto">
              <a:xfrm>
                <a:off x="231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1" name="Freeform 403"/>
              <xdr:cNvSpPr>
                <a:spLocks noChangeAspect="1"/>
              </xdr:cNvSpPr>
            </xdr:nvSpPr>
            <xdr:spPr bwMode="auto">
              <a:xfrm>
                <a:off x="2319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2" name="Freeform 404"/>
              <xdr:cNvSpPr>
                <a:spLocks noChangeAspect="1"/>
              </xdr:cNvSpPr>
            </xdr:nvSpPr>
            <xdr:spPr bwMode="auto">
              <a:xfrm>
                <a:off x="2313" y="3490"/>
                <a:ext cx="0" cy="6"/>
              </a:xfrm>
              <a:custGeom>
                <a:avLst/>
                <a:gdLst>
                  <a:gd name="T0" fmla="*/ 0 w 1"/>
                  <a:gd name="T1" fmla="*/ 0 h 41"/>
                  <a:gd name="T2" fmla="*/ 0 w 1"/>
                  <a:gd name="T3" fmla="*/ 1 h 41"/>
                  <a:gd name="T4" fmla="*/ 1 w 1"/>
                  <a:gd name="T5" fmla="*/ 1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0"/>
                    </a:moveTo>
                    <a:lnTo>
                      <a:pt x="0" y="41"/>
                    </a:lnTo>
                    <a:lnTo>
                      <a:pt x="1" y="41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3" name="Freeform 405"/>
              <xdr:cNvSpPr>
                <a:spLocks noChangeAspect="1"/>
              </xdr:cNvSpPr>
            </xdr:nvSpPr>
            <xdr:spPr bwMode="auto">
              <a:xfrm>
                <a:off x="2320" y="3496"/>
                <a:ext cx="0" cy="3"/>
              </a:xfrm>
              <a:custGeom>
                <a:avLst/>
                <a:gdLst>
                  <a:gd name="T0" fmla="*/ 0 w 1"/>
                  <a:gd name="T1" fmla="*/ 0 h 24"/>
                  <a:gd name="T2" fmla="*/ 0 w 1"/>
                  <a:gd name="T3" fmla="*/ 0 h 24"/>
                  <a:gd name="T4" fmla="*/ 1 w 1"/>
                  <a:gd name="T5" fmla="*/ 0 h 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4">
                    <a:moveTo>
                      <a:pt x="0" y="0"/>
                    </a:moveTo>
                    <a:lnTo>
                      <a:pt x="0" y="24"/>
                    </a:lnTo>
                    <a:lnTo>
                      <a:pt x="1" y="2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4" name="Freeform 406"/>
              <xdr:cNvSpPr>
                <a:spLocks noChangeAspect="1"/>
              </xdr:cNvSpPr>
            </xdr:nvSpPr>
            <xdr:spPr bwMode="auto">
              <a:xfrm>
                <a:off x="2323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5" name="Freeform 407"/>
              <xdr:cNvSpPr>
                <a:spLocks noChangeAspect="1"/>
              </xdr:cNvSpPr>
            </xdr:nvSpPr>
            <xdr:spPr bwMode="auto">
              <a:xfrm>
                <a:off x="2325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6" name="Freeform 408"/>
              <xdr:cNvSpPr>
                <a:spLocks noChangeAspect="1"/>
              </xdr:cNvSpPr>
            </xdr:nvSpPr>
            <xdr:spPr bwMode="auto">
              <a:xfrm>
                <a:off x="2321" y="3490"/>
                <a:ext cx="0" cy="6"/>
              </a:xfrm>
              <a:custGeom>
                <a:avLst/>
                <a:gdLst>
                  <a:gd name="T0" fmla="*/ 0 w 1"/>
                  <a:gd name="T1" fmla="*/ 1 h 41"/>
                  <a:gd name="T2" fmla="*/ 0 w 1"/>
                  <a:gd name="T3" fmla="*/ 0 h 41"/>
                  <a:gd name="T4" fmla="*/ 1 w 1"/>
                  <a:gd name="T5" fmla="*/ 0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4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7" name="Freeform 409"/>
              <xdr:cNvSpPr>
                <a:spLocks noChangeAspect="1"/>
              </xdr:cNvSpPr>
            </xdr:nvSpPr>
            <xdr:spPr bwMode="auto">
              <a:xfrm>
                <a:off x="2315" y="3557"/>
                <a:ext cx="34" cy="0"/>
              </a:xfrm>
              <a:custGeom>
                <a:avLst/>
                <a:gdLst>
                  <a:gd name="T0" fmla="*/ 0 w 267"/>
                  <a:gd name="T1" fmla="*/ 4 w 267"/>
                  <a:gd name="T2" fmla="*/ 4 w 26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7">
                    <a:moveTo>
                      <a:pt x="0" y="0"/>
                    </a:moveTo>
                    <a:lnTo>
                      <a:pt x="266" y="0"/>
                    </a:lnTo>
                    <a:lnTo>
                      <a:pt x="2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8" name="Freeform 410"/>
              <xdr:cNvSpPr>
                <a:spLocks noChangeAspect="1"/>
              </xdr:cNvSpPr>
            </xdr:nvSpPr>
            <xdr:spPr bwMode="auto">
              <a:xfrm>
                <a:off x="2316" y="3560"/>
                <a:ext cx="32" cy="0"/>
              </a:xfrm>
              <a:custGeom>
                <a:avLst/>
                <a:gdLst>
                  <a:gd name="T0" fmla="*/ 0 w 253"/>
                  <a:gd name="T1" fmla="*/ 4 w 253"/>
                  <a:gd name="T2" fmla="*/ 4 w 2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3">
                    <a:moveTo>
                      <a:pt x="0" y="0"/>
                    </a:moveTo>
                    <a:lnTo>
                      <a:pt x="252" y="0"/>
                    </a:lnTo>
                    <a:lnTo>
                      <a:pt x="2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9" name="Freeform 411"/>
              <xdr:cNvSpPr>
                <a:spLocks noChangeAspect="1"/>
              </xdr:cNvSpPr>
            </xdr:nvSpPr>
            <xdr:spPr bwMode="auto">
              <a:xfrm>
                <a:off x="2320" y="3523"/>
                <a:ext cx="24" cy="27"/>
              </a:xfrm>
              <a:custGeom>
                <a:avLst/>
                <a:gdLst>
                  <a:gd name="T0" fmla="*/ 3 w 196"/>
                  <a:gd name="T1" fmla="*/ 2 h 193"/>
                  <a:gd name="T2" fmla="*/ 3 w 196"/>
                  <a:gd name="T3" fmla="*/ 1 h 193"/>
                  <a:gd name="T4" fmla="*/ 2 w 196"/>
                  <a:gd name="T5" fmla="*/ 0 h 193"/>
                  <a:gd name="T6" fmla="*/ 1 w 196"/>
                  <a:gd name="T7" fmla="*/ 0 h 193"/>
                  <a:gd name="T8" fmla="*/ 1 w 196"/>
                  <a:gd name="T9" fmla="*/ 0 h 193"/>
                  <a:gd name="T10" fmla="*/ 0 w 196"/>
                  <a:gd name="T11" fmla="*/ 1 h 193"/>
                  <a:gd name="T12" fmla="*/ 0 w 196"/>
                  <a:gd name="T13" fmla="*/ 2 h 193"/>
                  <a:gd name="T14" fmla="*/ 0 w 196"/>
                  <a:gd name="T15" fmla="*/ 3 h 193"/>
                  <a:gd name="T16" fmla="*/ 1 w 196"/>
                  <a:gd name="T17" fmla="*/ 3 h 193"/>
                  <a:gd name="T18" fmla="*/ 1 w 196"/>
                  <a:gd name="T19" fmla="*/ 4 h 193"/>
                  <a:gd name="T20" fmla="*/ 2 w 196"/>
                  <a:gd name="T21" fmla="*/ 3 h 193"/>
                  <a:gd name="T22" fmla="*/ 3 w 196"/>
                  <a:gd name="T23" fmla="*/ 3 h 193"/>
                  <a:gd name="T24" fmla="*/ 3 w 196"/>
                  <a:gd name="T25" fmla="*/ 2 h 193"/>
                  <a:gd name="T26" fmla="*/ 3 w 196"/>
                  <a:gd name="T27" fmla="*/ 2 h 193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0" t="0" r="r" b="b"/>
                <a:pathLst>
                  <a:path w="196" h="193">
                    <a:moveTo>
                      <a:pt x="194" y="97"/>
                    </a:moveTo>
                    <a:lnTo>
                      <a:pt x="181" y="48"/>
                    </a:lnTo>
                    <a:lnTo>
                      <a:pt x="146" y="13"/>
                    </a:lnTo>
                    <a:lnTo>
                      <a:pt x="97" y="0"/>
                    </a:lnTo>
                    <a:lnTo>
                      <a:pt x="48" y="13"/>
                    </a:lnTo>
                    <a:lnTo>
                      <a:pt x="13" y="48"/>
                    </a:lnTo>
                    <a:lnTo>
                      <a:pt x="0" y="97"/>
                    </a:lnTo>
                    <a:lnTo>
                      <a:pt x="13" y="145"/>
                    </a:lnTo>
                    <a:lnTo>
                      <a:pt x="48" y="180"/>
                    </a:lnTo>
                    <a:lnTo>
                      <a:pt x="97" y="193"/>
                    </a:lnTo>
                    <a:lnTo>
                      <a:pt x="146" y="180"/>
                    </a:lnTo>
                    <a:lnTo>
                      <a:pt x="181" y="145"/>
                    </a:lnTo>
                    <a:lnTo>
                      <a:pt x="194" y="97"/>
                    </a:lnTo>
                    <a:lnTo>
                      <a:pt x="196" y="9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0" name="Freeform 412"/>
              <xdr:cNvSpPr>
                <a:spLocks noChangeAspect="1"/>
              </xdr:cNvSpPr>
            </xdr:nvSpPr>
            <xdr:spPr bwMode="auto">
              <a:xfrm>
                <a:off x="2322" y="3542"/>
                <a:ext cx="2" cy="2"/>
              </a:xfrm>
              <a:custGeom>
                <a:avLst/>
                <a:gdLst>
                  <a:gd name="T0" fmla="*/ 0 w 21"/>
                  <a:gd name="T1" fmla="*/ 0 h 19"/>
                  <a:gd name="T2" fmla="*/ 0 w 21"/>
                  <a:gd name="T3" fmla="*/ 0 h 19"/>
                  <a:gd name="T4" fmla="*/ 0 w 21"/>
                  <a:gd name="T5" fmla="*/ 0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1" h="19">
                    <a:moveTo>
                      <a:pt x="0" y="19"/>
                    </a:moveTo>
                    <a:lnTo>
                      <a:pt x="19" y="0"/>
                    </a:lnTo>
                    <a:lnTo>
                      <a:pt x="2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1" name="Freeform 413"/>
              <xdr:cNvSpPr>
                <a:spLocks noChangeAspect="1"/>
              </xdr:cNvSpPr>
            </xdr:nvSpPr>
            <xdr:spPr bwMode="auto">
              <a:xfrm>
                <a:off x="2337" y="3525"/>
                <a:ext cx="2" cy="3"/>
              </a:xfrm>
              <a:custGeom>
                <a:avLst/>
                <a:gdLst>
                  <a:gd name="T0" fmla="*/ 0 w 19"/>
                  <a:gd name="T1" fmla="*/ 0 h 19"/>
                  <a:gd name="T2" fmla="*/ 0 w 19"/>
                  <a:gd name="T3" fmla="*/ 0 h 19"/>
                  <a:gd name="T4" fmla="*/ 0 w 19"/>
                  <a:gd name="T5" fmla="*/ 0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19">
                    <a:moveTo>
                      <a:pt x="0" y="19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2" name="Freeform 414"/>
              <xdr:cNvSpPr>
                <a:spLocks noChangeAspect="1"/>
              </xdr:cNvSpPr>
            </xdr:nvSpPr>
            <xdr:spPr bwMode="auto">
              <a:xfrm>
                <a:off x="2322" y="3542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3" name="Freeform 415"/>
              <xdr:cNvSpPr>
                <a:spLocks noChangeAspect="1"/>
              </xdr:cNvSpPr>
            </xdr:nvSpPr>
            <xdr:spPr bwMode="auto">
              <a:xfrm>
                <a:off x="2337" y="3526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4" name="Freeform 416"/>
              <xdr:cNvSpPr>
                <a:spLocks noChangeAspect="1"/>
              </xdr:cNvSpPr>
            </xdr:nvSpPr>
            <xdr:spPr bwMode="auto">
              <a:xfrm>
                <a:off x="2323" y="3542"/>
                <a:ext cx="3" cy="4"/>
              </a:xfrm>
              <a:custGeom>
                <a:avLst/>
                <a:gdLst>
                  <a:gd name="T0" fmla="*/ 0 w 29"/>
                  <a:gd name="T1" fmla="*/ 1 h 27"/>
                  <a:gd name="T2" fmla="*/ 0 w 29"/>
                  <a:gd name="T3" fmla="*/ 0 h 27"/>
                  <a:gd name="T4" fmla="*/ 0 w 29"/>
                  <a:gd name="T5" fmla="*/ 0 h 2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9" h="27">
                    <a:moveTo>
                      <a:pt x="0" y="27"/>
                    </a:move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5" name="Freeform 417"/>
              <xdr:cNvSpPr>
                <a:spLocks noChangeAspect="1"/>
              </xdr:cNvSpPr>
            </xdr:nvSpPr>
            <xdr:spPr bwMode="auto">
              <a:xfrm>
                <a:off x="2337" y="3526"/>
                <a:ext cx="3" cy="4"/>
              </a:xfrm>
              <a:custGeom>
                <a:avLst/>
                <a:gdLst>
                  <a:gd name="T0" fmla="*/ 0 w 27"/>
                  <a:gd name="T1" fmla="*/ 1 h 26"/>
                  <a:gd name="T2" fmla="*/ 0 w 27"/>
                  <a:gd name="T3" fmla="*/ 0 h 26"/>
                  <a:gd name="T4" fmla="*/ 0 w 27"/>
                  <a:gd name="T5" fmla="*/ 0 h 2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7" h="26">
                    <a:moveTo>
                      <a:pt x="0" y="26"/>
                    </a:moveTo>
                    <a:lnTo>
                      <a:pt x="26" y="0"/>
                    </a:lnTo>
                    <a:lnTo>
                      <a:pt x="2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6" name="Freeform 418"/>
              <xdr:cNvSpPr>
                <a:spLocks noChangeAspect="1"/>
              </xdr:cNvSpPr>
            </xdr:nvSpPr>
            <xdr:spPr bwMode="auto">
              <a:xfrm>
                <a:off x="2323" y="3542"/>
                <a:ext cx="4" cy="4"/>
              </a:xfrm>
              <a:custGeom>
                <a:avLst/>
                <a:gdLst>
                  <a:gd name="T0" fmla="*/ 0 w 31"/>
                  <a:gd name="T1" fmla="*/ 1 h 30"/>
                  <a:gd name="T2" fmla="*/ 1 w 31"/>
                  <a:gd name="T3" fmla="*/ 0 h 30"/>
                  <a:gd name="T4" fmla="*/ 1 w 31"/>
                  <a:gd name="T5" fmla="*/ 0 h 3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30">
                    <a:moveTo>
                      <a:pt x="0" y="30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7" name="Freeform 419"/>
              <xdr:cNvSpPr>
                <a:spLocks noChangeAspect="1"/>
              </xdr:cNvSpPr>
            </xdr:nvSpPr>
            <xdr:spPr bwMode="auto">
              <a:xfrm>
                <a:off x="2337" y="3527"/>
                <a:ext cx="4" cy="4"/>
              </a:xfrm>
              <a:custGeom>
                <a:avLst/>
                <a:gdLst>
                  <a:gd name="T0" fmla="*/ 0 w 31"/>
                  <a:gd name="T1" fmla="*/ 1 h 30"/>
                  <a:gd name="T2" fmla="*/ 1 w 31"/>
                  <a:gd name="T3" fmla="*/ 0 h 30"/>
                  <a:gd name="T4" fmla="*/ 1 w 31"/>
                  <a:gd name="T5" fmla="*/ 0 h 3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30">
                    <a:moveTo>
                      <a:pt x="0" y="30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8" name="Freeform 420"/>
              <xdr:cNvSpPr>
                <a:spLocks noChangeAspect="1"/>
              </xdr:cNvSpPr>
            </xdr:nvSpPr>
            <xdr:spPr bwMode="auto">
              <a:xfrm>
                <a:off x="2324" y="3542"/>
                <a:ext cx="4" cy="4"/>
              </a:xfrm>
              <a:custGeom>
                <a:avLst/>
                <a:gdLst>
                  <a:gd name="T0" fmla="*/ 0 w 35"/>
                  <a:gd name="T1" fmla="*/ 0 h 33"/>
                  <a:gd name="T2" fmla="*/ 0 w 35"/>
                  <a:gd name="T3" fmla="*/ 0 h 33"/>
                  <a:gd name="T4" fmla="*/ 0 w 35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5" h="33">
                    <a:moveTo>
                      <a:pt x="0" y="33"/>
                    </a:moveTo>
                    <a:lnTo>
                      <a:pt x="34" y="0"/>
                    </a:lnTo>
                    <a:lnTo>
                      <a:pt x="3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9" name="Freeform 421"/>
              <xdr:cNvSpPr>
                <a:spLocks noChangeAspect="1"/>
              </xdr:cNvSpPr>
            </xdr:nvSpPr>
            <xdr:spPr bwMode="auto">
              <a:xfrm>
                <a:off x="2337" y="3527"/>
                <a:ext cx="4" cy="5"/>
              </a:xfrm>
              <a:custGeom>
                <a:avLst/>
                <a:gdLst>
                  <a:gd name="T0" fmla="*/ 0 w 35"/>
                  <a:gd name="T1" fmla="*/ 1 h 33"/>
                  <a:gd name="T2" fmla="*/ 0 w 35"/>
                  <a:gd name="T3" fmla="*/ 0 h 33"/>
                  <a:gd name="T4" fmla="*/ 0 w 35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5" h="33">
                    <a:moveTo>
                      <a:pt x="0" y="33"/>
                    </a:moveTo>
                    <a:lnTo>
                      <a:pt x="34" y="0"/>
                    </a:lnTo>
                    <a:lnTo>
                      <a:pt x="3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0" name="Freeform 422"/>
              <xdr:cNvSpPr>
                <a:spLocks noChangeAspect="1"/>
              </xdr:cNvSpPr>
            </xdr:nvSpPr>
            <xdr:spPr bwMode="auto">
              <a:xfrm>
                <a:off x="2324" y="3542"/>
                <a:ext cx="5" cy="5"/>
              </a:xfrm>
              <a:custGeom>
                <a:avLst/>
                <a:gdLst>
                  <a:gd name="T0" fmla="*/ 0 w 38"/>
                  <a:gd name="T1" fmla="*/ 1 h 36"/>
                  <a:gd name="T2" fmla="*/ 1 w 38"/>
                  <a:gd name="T3" fmla="*/ 0 h 36"/>
                  <a:gd name="T4" fmla="*/ 1 w 38"/>
                  <a:gd name="T5" fmla="*/ 0 h 3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8" h="36">
                    <a:moveTo>
                      <a:pt x="0" y="36"/>
                    </a:moveTo>
                    <a:lnTo>
                      <a:pt x="37" y="0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1" name="Freeform 423"/>
              <xdr:cNvSpPr>
                <a:spLocks noChangeAspect="1"/>
              </xdr:cNvSpPr>
            </xdr:nvSpPr>
            <xdr:spPr bwMode="auto">
              <a:xfrm>
                <a:off x="2337" y="3528"/>
                <a:ext cx="4" cy="5"/>
              </a:xfrm>
              <a:custGeom>
                <a:avLst/>
                <a:gdLst>
                  <a:gd name="T0" fmla="*/ 0 w 38"/>
                  <a:gd name="T1" fmla="*/ 1 h 36"/>
                  <a:gd name="T2" fmla="*/ 0 w 38"/>
                  <a:gd name="T3" fmla="*/ 0 h 36"/>
                  <a:gd name="T4" fmla="*/ 0 w 38"/>
                  <a:gd name="T5" fmla="*/ 0 h 3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8" h="36">
                    <a:moveTo>
                      <a:pt x="0" y="36"/>
                    </a:moveTo>
                    <a:lnTo>
                      <a:pt x="37" y="0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2" name="Freeform 424"/>
              <xdr:cNvSpPr>
                <a:spLocks noChangeAspect="1"/>
              </xdr:cNvSpPr>
            </xdr:nvSpPr>
            <xdr:spPr bwMode="auto">
              <a:xfrm>
                <a:off x="2325" y="3542"/>
                <a:ext cx="5" cy="5"/>
              </a:xfrm>
              <a:custGeom>
                <a:avLst/>
                <a:gdLst>
                  <a:gd name="T0" fmla="*/ 0 w 41"/>
                  <a:gd name="T1" fmla="*/ 1 h 40"/>
                  <a:gd name="T2" fmla="*/ 1 w 41"/>
                  <a:gd name="T3" fmla="*/ 0 h 40"/>
                  <a:gd name="T4" fmla="*/ 1 w 41"/>
                  <a:gd name="T5" fmla="*/ 0 h 4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1" h="40">
                    <a:moveTo>
                      <a:pt x="0" y="40"/>
                    </a:moveTo>
                    <a:lnTo>
                      <a:pt x="40" y="0"/>
                    </a:lnTo>
                    <a:lnTo>
                      <a:pt x="4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3" name="Freeform 425"/>
              <xdr:cNvSpPr>
                <a:spLocks noChangeAspect="1"/>
              </xdr:cNvSpPr>
            </xdr:nvSpPr>
            <xdr:spPr bwMode="auto">
              <a:xfrm>
                <a:off x="2337" y="3528"/>
                <a:ext cx="5" cy="6"/>
              </a:xfrm>
              <a:custGeom>
                <a:avLst/>
                <a:gdLst>
                  <a:gd name="T0" fmla="*/ 0 w 41"/>
                  <a:gd name="T1" fmla="*/ 1 h 38"/>
                  <a:gd name="T2" fmla="*/ 1 w 41"/>
                  <a:gd name="T3" fmla="*/ 0 h 38"/>
                  <a:gd name="T4" fmla="*/ 1 w 41"/>
                  <a:gd name="T5" fmla="*/ 0 h 3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1" h="38">
                    <a:moveTo>
                      <a:pt x="0" y="38"/>
                    </a:moveTo>
                    <a:lnTo>
                      <a:pt x="40" y="0"/>
                    </a:lnTo>
                    <a:lnTo>
                      <a:pt x="4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4" name="Freeform 426"/>
              <xdr:cNvSpPr>
                <a:spLocks noChangeAspect="1"/>
              </xdr:cNvSpPr>
            </xdr:nvSpPr>
            <xdr:spPr bwMode="auto">
              <a:xfrm>
                <a:off x="2325" y="3542"/>
                <a:ext cx="6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5" name="Freeform 427"/>
              <xdr:cNvSpPr>
                <a:spLocks noChangeAspect="1"/>
              </xdr:cNvSpPr>
            </xdr:nvSpPr>
            <xdr:spPr bwMode="auto">
              <a:xfrm>
                <a:off x="2337" y="3529"/>
                <a:ext cx="5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6" name="Freeform 428"/>
              <xdr:cNvSpPr>
                <a:spLocks noChangeAspect="1"/>
              </xdr:cNvSpPr>
            </xdr:nvSpPr>
            <xdr:spPr bwMode="auto">
              <a:xfrm>
                <a:off x="2326" y="3542"/>
                <a:ext cx="5" cy="6"/>
              </a:xfrm>
              <a:custGeom>
                <a:avLst/>
                <a:gdLst>
                  <a:gd name="T0" fmla="*/ 0 w 47"/>
                  <a:gd name="T1" fmla="*/ 1 h 45"/>
                  <a:gd name="T2" fmla="*/ 1 w 47"/>
                  <a:gd name="T3" fmla="*/ 0 h 45"/>
                  <a:gd name="T4" fmla="*/ 1 w 47"/>
                  <a:gd name="T5" fmla="*/ 0 h 4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7" h="45">
                    <a:moveTo>
                      <a:pt x="0" y="45"/>
                    </a:moveTo>
                    <a:lnTo>
                      <a:pt x="46" y="0"/>
                    </a:lnTo>
                    <a:lnTo>
                      <a:pt x="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7" name="Freeform 429"/>
              <xdr:cNvSpPr>
                <a:spLocks noChangeAspect="1"/>
              </xdr:cNvSpPr>
            </xdr:nvSpPr>
            <xdr:spPr bwMode="auto">
              <a:xfrm>
                <a:off x="2337" y="3529"/>
                <a:ext cx="5" cy="7"/>
              </a:xfrm>
              <a:custGeom>
                <a:avLst/>
                <a:gdLst>
                  <a:gd name="T0" fmla="*/ 0 w 47"/>
                  <a:gd name="T1" fmla="*/ 1 h 46"/>
                  <a:gd name="T2" fmla="*/ 1 w 47"/>
                  <a:gd name="T3" fmla="*/ 0 h 46"/>
                  <a:gd name="T4" fmla="*/ 1 w 47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7" h="46">
                    <a:moveTo>
                      <a:pt x="0" y="46"/>
                    </a:moveTo>
                    <a:lnTo>
                      <a:pt x="45" y="0"/>
                    </a:lnTo>
                    <a:lnTo>
                      <a:pt x="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8" name="Freeform 430"/>
              <xdr:cNvSpPr>
                <a:spLocks noChangeAspect="1"/>
              </xdr:cNvSpPr>
            </xdr:nvSpPr>
            <xdr:spPr bwMode="auto">
              <a:xfrm>
                <a:off x="2326" y="3542"/>
                <a:ext cx="6" cy="7"/>
              </a:xfrm>
              <a:custGeom>
                <a:avLst/>
                <a:gdLst>
                  <a:gd name="T0" fmla="*/ 0 w 49"/>
                  <a:gd name="T1" fmla="*/ 1 h 48"/>
                  <a:gd name="T2" fmla="*/ 1 w 49"/>
                  <a:gd name="T3" fmla="*/ 0 h 48"/>
                  <a:gd name="T4" fmla="*/ 1 w 49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" h="48">
                    <a:moveTo>
                      <a:pt x="0" y="48"/>
                    </a:moveTo>
                    <a:lnTo>
                      <a:pt x="48" y="0"/>
                    </a:lnTo>
                    <a:lnTo>
                      <a:pt x="4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9" name="Freeform 431"/>
              <xdr:cNvSpPr>
                <a:spLocks noChangeAspect="1"/>
              </xdr:cNvSpPr>
            </xdr:nvSpPr>
            <xdr:spPr bwMode="auto">
              <a:xfrm>
                <a:off x="2337" y="3530"/>
                <a:ext cx="6" cy="7"/>
              </a:xfrm>
              <a:custGeom>
                <a:avLst/>
                <a:gdLst>
                  <a:gd name="T0" fmla="*/ 0 w 49"/>
                  <a:gd name="T1" fmla="*/ 1 h 47"/>
                  <a:gd name="T2" fmla="*/ 1 w 49"/>
                  <a:gd name="T3" fmla="*/ 0 h 47"/>
                  <a:gd name="T4" fmla="*/ 1 w 49"/>
                  <a:gd name="T5" fmla="*/ 0 h 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" h="47">
                    <a:moveTo>
                      <a:pt x="0" y="47"/>
                    </a:moveTo>
                    <a:lnTo>
                      <a:pt x="48" y="0"/>
                    </a:lnTo>
                    <a:lnTo>
                      <a:pt x="4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0" name="Freeform 432"/>
              <xdr:cNvSpPr>
                <a:spLocks noChangeAspect="1"/>
              </xdr:cNvSpPr>
            </xdr:nvSpPr>
            <xdr:spPr bwMode="auto">
              <a:xfrm>
                <a:off x="2327" y="3542"/>
                <a:ext cx="7" cy="7"/>
              </a:xfrm>
              <a:custGeom>
                <a:avLst/>
                <a:gdLst>
                  <a:gd name="T0" fmla="*/ 0 w 53"/>
                  <a:gd name="T1" fmla="*/ 1 h 51"/>
                  <a:gd name="T2" fmla="*/ 1 w 53"/>
                  <a:gd name="T3" fmla="*/ 0 h 51"/>
                  <a:gd name="T4" fmla="*/ 1 w 53"/>
                  <a:gd name="T5" fmla="*/ 0 h 5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1">
                    <a:moveTo>
                      <a:pt x="0" y="51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1" name="Freeform 433"/>
              <xdr:cNvSpPr>
                <a:spLocks noChangeAspect="1"/>
              </xdr:cNvSpPr>
            </xdr:nvSpPr>
            <xdr:spPr bwMode="auto">
              <a:xfrm>
                <a:off x="2336" y="3531"/>
                <a:ext cx="7" cy="7"/>
              </a:xfrm>
              <a:custGeom>
                <a:avLst/>
                <a:gdLst>
                  <a:gd name="T0" fmla="*/ 0 w 53"/>
                  <a:gd name="T1" fmla="*/ 1 h 51"/>
                  <a:gd name="T2" fmla="*/ 1 w 53"/>
                  <a:gd name="T3" fmla="*/ 0 h 51"/>
                  <a:gd name="T4" fmla="*/ 1 w 53"/>
                  <a:gd name="T5" fmla="*/ 0 h 5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1">
                    <a:moveTo>
                      <a:pt x="0" y="51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2" name="Freeform 434"/>
              <xdr:cNvSpPr>
                <a:spLocks noChangeAspect="1"/>
              </xdr:cNvSpPr>
            </xdr:nvSpPr>
            <xdr:spPr bwMode="auto">
              <a:xfrm>
                <a:off x="2327" y="3531"/>
                <a:ext cx="16" cy="18"/>
              </a:xfrm>
              <a:custGeom>
                <a:avLst/>
                <a:gdLst>
                  <a:gd name="T0" fmla="*/ 0 w 127"/>
                  <a:gd name="T1" fmla="*/ 3 h 124"/>
                  <a:gd name="T2" fmla="*/ 2 w 127"/>
                  <a:gd name="T3" fmla="*/ 0 h 124"/>
                  <a:gd name="T4" fmla="*/ 2 w 127"/>
                  <a:gd name="T5" fmla="*/ 0 h 1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27" h="124">
                    <a:moveTo>
                      <a:pt x="0" y="124"/>
                    </a:moveTo>
                    <a:lnTo>
                      <a:pt x="126" y="0"/>
                    </a:lnTo>
                    <a:lnTo>
                      <a:pt x="12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3" name="Freeform 435"/>
              <xdr:cNvSpPr>
                <a:spLocks noChangeAspect="1"/>
              </xdr:cNvSpPr>
            </xdr:nvSpPr>
            <xdr:spPr bwMode="auto">
              <a:xfrm>
                <a:off x="2328" y="3532"/>
                <a:ext cx="16" cy="17"/>
              </a:xfrm>
              <a:custGeom>
                <a:avLst/>
                <a:gdLst>
                  <a:gd name="T0" fmla="*/ 0 w 123"/>
                  <a:gd name="T1" fmla="*/ 2 h 119"/>
                  <a:gd name="T2" fmla="*/ 2 w 123"/>
                  <a:gd name="T3" fmla="*/ 0 h 119"/>
                  <a:gd name="T4" fmla="*/ 2 w 123"/>
                  <a:gd name="T5" fmla="*/ 0 h 1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23" h="119">
                    <a:moveTo>
                      <a:pt x="0" y="119"/>
                    </a:moveTo>
                    <a:lnTo>
                      <a:pt x="122" y="0"/>
                    </a:lnTo>
                    <a:lnTo>
                      <a:pt x="12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4" name="Freeform 436"/>
              <xdr:cNvSpPr>
                <a:spLocks noChangeAspect="1"/>
              </xdr:cNvSpPr>
            </xdr:nvSpPr>
            <xdr:spPr bwMode="auto">
              <a:xfrm>
                <a:off x="2329" y="3533"/>
                <a:ext cx="15" cy="17"/>
              </a:xfrm>
              <a:custGeom>
                <a:avLst/>
                <a:gdLst>
                  <a:gd name="T0" fmla="*/ 0 w 119"/>
                  <a:gd name="T1" fmla="*/ 2 h 117"/>
                  <a:gd name="T2" fmla="*/ 2 w 119"/>
                  <a:gd name="T3" fmla="*/ 0 h 117"/>
                  <a:gd name="T4" fmla="*/ 2 w 119"/>
                  <a:gd name="T5" fmla="*/ 0 h 1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9" h="117">
                    <a:moveTo>
                      <a:pt x="0" y="117"/>
                    </a:moveTo>
                    <a:lnTo>
                      <a:pt x="118" y="0"/>
                    </a:lnTo>
                    <a:lnTo>
                      <a:pt x="1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5" name="Freeform 437"/>
              <xdr:cNvSpPr>
                <a:spLocks noChangeAspect="1"/>
              </xdr:cNvSpPr>
            </xdr:nvSpPr>
            <xdr:spPr bwMode="auto">
              <a:xfrm>
                <a:off x="2329" y="3534"/>
                <a:ext cx="15" cy="16"/>
              </a:xfrm>
              <a:custGeom>
                <a:avLst/>
                <a:gdLst>
                  <a:gd name="T0" fmla="*/ 0 w 114"/>
                  <a:gd name="T1" fmla="*/ 2 h 113"/>
                  <a:gd name="T2" fmla="*/ 2 w 114"/>
                  <a:gd name="T3" fmla="*/ 0 h 113"/>
                  <a:gd name="T4" fmla="*/ 2 w 114"/>
                  <a:gd name="T5" fmla="*/ 0 h 1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4" h="113">
                    <a:moveTo>
                      <a:pt x="0" y="113"/>
                    </a:moveTo>
                    <a:lnTo>
                      <a:pt x="113" y="0"/>
                    </a:lnTo>
                    <a:lnTo>
                      <a:pt x="1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6" name="Freeform 438"/>
              <xdr:cNvSpPr>
                <a:spLocks noChangeAspect="1"/>
              </xdr:cNvSpPr>
            </xdr:nvSpPr>
            <xdr:spPr bwMode="auto">
              <a:xfrm>
                <a:off x="2330" y="3535"/>
                <a:ext cx="14" cy="15"/>
              </a:xfrm>
              <a:custGeom>
                <a:avLst/>
                <a:gdLst>
                  <a:gd name="T0" fmla="*/ 0 w 109"/>
                  <a:gd name="T1" fmla="*/ 2 h 107"/>
                  <a:gd name="T2" fmla="*/ 2 w 109"/>
                  <a:gd name="T3" fmla="*/ 0 h 107"/>
                  <a:gd name="T4" fmla="*/ 2 w 109"/>
                  <a:gd name="T5" fmla="*/ 0 h 10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09" h="107">
                    <a:moveTo>
                      <a:pt x="0" y="107"/>
                    </a:moveTo>
                    <a:lnTo>
                      <a:pt x="108" y="0"/>
                    </a:lnTo>
                    <a:lnTo>
                      <a:pt x="10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7" name="Freeform 439"/>
              <xdr:cNvSpPr>
                <a:spLocks noChangeAspect="1"/>
              </xdr:cNvSpPr>
            </xdr:nvSpPr>
            <xdr:spPr bwMode="auto">
              <a:xfrm>
                <a:off x="2331" y="3536"/>
                <a:ext cx="13" cy="14"/>
              </a:xfrm>
              <a:custGeom>
                <a:avLst/>
                <a:gdLst>
                  <a:gd name="T0" fmla="*/ 0 w 104"/>
                  <a:gd name="T1" fmla="*/ 2 h 101"/>
                  <a:gd name="T2" fmla="*/ 2 w 104"/>
                  <a:gd name="T3" fmla="*/ 0 h 101"/>
                  <a:gd name="T4" fmla="*/ 2 w 104"/>
                  <a:gd name="T5" fmla="*/ 0 h 10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04" h="101">
                    <a:moveTo>
                      <a:pt x="0" y="101"/>
                    </a:moveTo>
                    <a:lnTo>
                      <a:pt x="102" y="0"/>
                    </a:lnTo>
                    <a:lnTo>
                      <a:pt x="10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8" name="Freeform 440"/>
              <xdr:cNvSpPr>
                <a:spLocks noChangeAspect="1"/>
              </xdr:cNvSpPr>
            </xdr:nvSpPr>
            <xdr:spPr bwMode="auto">
              <a:xfrm>
                <a:off x="2332" y="3537"/>
                <a:ext cx="12" cy="13"/>
              </a:xfrm>
              <a:custGeom>
                <a:avLst/>
                <a:gdLst>
                  <a:gd name="T0" fmla="*/ 0 w 97"/>
                  <a:gd name="T1" fmla="*/ 2 h 95"/>
                  <a:gd name="T2" fmla="*/ 1 w 97"/>
                  <a:gd name="T3" fmla="*/ 0 h 95"/>
                  <a:gd name="T4" fmla="*/ 1 w 97"/>
                  <a:gd name="T5" fmla="*/ 0 h 9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97" h="95">
                    <a:moveTo>
                      <a:pt x="0" y="95"/>
                    </a:moveTo>
                    <a:lnTo>
                      <a:pt x="95" y="0"/>
                    </a:lnTo>
                    <a:lnTo>
                      <a:pt x="9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9" name="Freeform 441"/>
              <xdr:cNvSpPr>
                <a:spLocks noChangeAspect="1"/>
              </xdr:cNvSpPr>
            </xdr:nvSpPr>
            <xdr:spPr bwMode="auto">
              <a:xfrm>
                <a:off x="2333" y="3538"/>
                <a:ext cx="11" cy="12"/>
              </a:xfrm>
              <a:custGeom>
                <a:avLst/>
                <a:gdLst>
                  <a:gd name="T0" fmla="*/ 0 w 88"/>
                  <a:gd name="T1" fmla="*/ 2 h 87"/>
                  <a:gd name="T2" fmla="*/ 1 w 88"/>
                  <a:gd name="T3" fmla="*/ 0 h 87"/>
                  <a:gd name="T4" fmla="*/ 1 w 88"/>
                  <a:gd name="T5" fmla="*/ 0 h 8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8" h="87">
                    <a:moveTo>
                      <a:pt x="0" y="87"/>
                    </a:moveTo>
                    <a:lnTo>
                      <a:pt x="87" y="0"/>
                    </a:lnTo>
                    <a:lnTo>
                      <a:pt x="8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0" name="Freeform 442"/>
              <xdr:cNvSpPr>
                <a:spLocks noChangeAspect="1"/>
              </xdr:cNvSpPr>
            </xdr:nvSpPr>
            <xdr:spPr bwMode="auto">
              <a:xfrm>
                <a:off x="2334" y="3539"/>
                <a:ext cx="10" cy="11"/>
              </a:xfrm>
              <a:custGeom>
                <a:avLst/>
                <a:gdLst>
                  <a:gd name="T0" fmla="*/ 0 w 79"/>
                  <a:gd name="T1" fmla="*/ 2 h 77"/>
                  <a:gd name="T2" fmla="*/ 1 w 79"/>
                  <a:gd name="T3" fmla="*/ 0 h 77"/>
                  <a:gd name="T4" fmla="*/ 1 w 79"/>
                  <a:gd name="T5" fmla="*/ 0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9" h="77">
                    <a:moveTo>
                      <a:pt x="0" y="77"/>
                    </a:moveTo>
                    <a:lnTo>
                      <a:pt x="78" y="0"/>
                    </a:lnTo>
                    <a:lnTo>
                      <a:pt x="7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1" name="Freeform 443"/>
              <xdr:cNvSpPr>
                <a:spLocks noChangeAspect="1"/>
              </xdr:cNvSpPr>
            </xdr:nvSpPr>
            <xdr:spPr bwMode="auto">
              <a:xfrm>
                <a:off x="2335" y="3540"/>
                <a:ext cx="9" cy="10"/>
              </a:xfrm>
              <a:custGeom>
                <a:avLst/>
                <a:gdLst>
                  <a:gd name="T0" fmla="*/ 0 w 67"/>
                  <a:gd name="T1" fmla="*/ 1 h 67"/>
                  <a:gd name="T2" fmla="*/ 1 w 67"/>
                  <a:gd name="T3" fmla="*/ 0 h 67"/>
                  <a:gd name="T4" fmla="*/ 1 w 67"/>
                  <a:gd name="T5" fmla="*/ 0 h 6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67" h="67">
                    <a:moveTo>
                      <a:pt x="0" y="67"/>
                    </a:moveTo>
                    <a:lnTo>
                      <a:pt x="66" y="0"/>
                    </a:lnTo>
                    <a:lnTo>
                      <a:pt x="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2" name="Freeform 444"/>
              <xdr:cNvSpPr>
                <a:spLocks noChangeAspect="1"/>
              </xdr:cNvSpPr>
            </xdr:nvSpPr>
            <xdr:spPr bwMode="auto">
              <a:xfrm>
                <a:off x="2336" y="3542"/>
                <a:ext cx="7" cy="7"/>
              </a:xfrm>
              <a:custGeom>
                <a:avLst/>
                <a:gdLst>
                  <a:gd name="T0" fmla="*/ 0 w 53"/>
                  <a:gd name="T1" fmla="*/ 1 h 52"/>
                  <a:gd name="T2" fmla="*/ 1 w 53"/>
                  <a:gd name="T3" fmla="*/ 0 h 52"/>
                  <a:gd name="T4" fmla="*/ 1 w 53"/>
                  <a:gd name="T5" fmla="*/ 0 h 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2">
                    <a:moveTo>
                      <a:pt x="0" y="52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3" name="Freeform 445"/>
              <xdr:cNvSpPr>
                <a:spLocks noChangeAspect="1"/>
              </xdr:cNvSpPr>
            </xdr:nvSpPr>
            <xdr:spPr bwMode="auto">
              <a:xfrm>
                <a:off x="2338" y="3544"/>
                <a:ext cx="4" cy="4"/>
              </a:xfrm>
              <a:custGeom>
                <a:avLst/>
                <a:gdLst>
                  <a:gd name="T0" fmla="*/ 0 w 31"/>
                  <a:gd name="T1" fmla="*/ 1 h 29"/>
                  <a:gd name="T2" fmla="*/ 1 w 31"/>
                  <a:gd name="T3" fmla="*/ 0 h 29"/>
                  <a:gd name="T4" fmla="*/ 1 w 31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29">
                    <a:moveTo>
                      <a:pt x="0" y="29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4" name="Freeform 446"/>
              <xdr:cNvSpPr>
                <a:spLocks noChangeAspect="1"/>
              </xdr:cNvSpPr>
            </xdr:nvSpPr>
            <xdr:spPr bwMode="auto">
              <a:xfrm>
                <a:off x="2322" y="3542"/>
                <a:ext cx="1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5" name="Freeform 447"/>
              <xdr:cNvSpPr>
                <a:spLocks noChangeAspect="1"/>
              </xdr:cNvSpPr>
            </xdr:nvSpPr>
            <xdr:spPr bwMode="auto">
              <a:xfrm>
                <a:off x="2337" y="3525"/>
                <a:ext cx="2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6" name="Freeform 448"/>
              <xdr:cNvSpPr>
                <a:spLocks noChangeAspect="1"/>
              </xdr:cNvSpPr>
            </xdr:nvSpPr>
            <xdr:spPr bwMode="auto">
              <a:xfrm>
                <a:off x="2321" y="3542"/>
                <a:ext cx="2" cy="1"/>
              </a:xfrm>
              <a:custGeom>
                <a:avLst/>
                <a:gdLst>
                  <a:gd name="T0" fmla="*/ 0 w 11"/>
                  <a:gd name="T1" fmla="*/ 0 h 11"/>
                  <a:gd name="T2" fmla="*/ 0 w 11"/>
                  <a:gd name="T3" fmla="*/ 0 h 11"/>
                  <a:gd name="T4" fmla="*/ 0 w 1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1">
                    <a:moveTo>
                      <a:pt x="0" y="11"/>
                    </a:moveTo>
                    <a:lnTo>
                      <a:pt x="10" y="0"/>
                    </a:lnTo>
                    <a:lnTo>
                      <a:pt x="1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7" name="Freeform 449"/>
              <xdr:cNvSpPr>
                <a:spLocks noChangeAspect="1"/>
              </xdr:cNvSpPr>
            </xdr:nvSpPr>
            <xdr:spPr bwMode="auto">
              <a:xfrm>
                <a:off x="2337" y="3524"/>
                <a:ext cx="1" cy="2"/>
              </a:xfrm>
              <a:custGeom>
                <a:avLst/>
                <a:gdLst>
                  <a:gd name="T0" fmla="*/ 0 w 11"/>
                  <a:gd name="T1" fmla="*/ 0 h 10"/>
                  <a:gd name="T2" fmla="*/ 0 w 11"/>
                  <a:gd name="T3" fmla="*/ 0 h 10"/>
                  <a:gd name="T4" fmla="*/ 0 w 11"/>
                  <a:gd name="T5" fmla="*/ 0 h 1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0">
                    <a:moveTo>
                      <a:pt x="0" y="10"/>
                    </a:moveTo>
                    <a:lnTo>
                      <a:pt x="10" y="0"/>
                    </a:lnTo>
                    <a:lnTo>
                      <a:pt x="1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8" name="Freeform 450"/>
              <xdr:cNvSpPr>
                <a:spLocks noChangeAspect="1"/>
              </xdr:cNvSpPr>
            </xdr:nvSpPr>
            <xdr:spPr bwMode="auto">
              <a:xfrm>
                <a:off x="2321" y="3542"/>
                <a:ext cx="1" cy="1"/>
              </a:xfrm>
              <a:custGeom>
                <a:avLst/>
                <a:gdLst>
                  <a:gd name="T0" fmla="*/ 0 w 7"/>
                  <a:gd name="T1" fmla="*/ 0 h 6"/>
                  <a:gd name="T2" fmla="*/ 0 w 7"/>
                  <a:gd name="T3" fmla="*/ 0 h 6"/>
                  <a:gd name="T4" fmla="*/ 0 w 7"/>
                  <a:gd name="T5" fmla="*/ 0 h 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6">
                    <a:moveTo>
                      <a:pt x="0" y="6"/>
                    </a:moveTo>
                    <a:lnTo>
                      <a:pt x="6" y="0"/>
                    </a:lnTo>
                    <a:lnTo>
                      <a:pt x="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9" name="Freeform 451"/>
              <xdr:cNvSpPr>
                <a:spLocks noChangeAspect="1"/>
              </xdr:cNvSpPr>
            </xdr:nvSpPr>
            <xdr:spPr bwMode="auto">
              <a:xfrm>
                <a:off x="2337" y="3524"/>
                <a:ext cx="0" cy="1"/>
              </a:xfrm>
              <a:custGeom>
                <a:avLst/>
                <a:gdLst>
                  <a:gd name="T0" fmla="*/ 0 w 6"/>
                  <a:gd name="T1" fmla="*/ 0 h 6"/>
                  <a:gd name="T2" fmla="*/ 0 w 6"/>
                  <a:gd name="T3" fmla="*/ 0 h 6"/>
                  <a:gd name="T4" fmla="*/ 0 w 6"/>
                  <a:gd name="T5" fmla="*/ 0 h 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6" h="6">
                    <a:moveTo>
                      <a:pt x="0" y="6"/>
                    </a:moveTo>
                    <a:lnTo>
                      <a:pt x="5" y="0"/>
                    </a:lnTo>
                    <a:lnTo>
                      <a:pt x="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0" name="Freeform 452"/>
              <xdr:cNvSpPr>
                <a:spLocks noChangeAspect="1"/>
              </xdr:cNvSpPr>
            </xdr:nvSpPr>
            <xdr:spPr bwMode="auto">
              <a:xfrm>
                <a:off x="2321" y="3542"/>
                <a:ext cx="0" cy="0"/>
              </a:xfrm>
              <a:custGeom>
                <a:avLst/>
                <a:gdLst>
                  <a:gd name="T0" fmla="*/ 0 w 1"/>
                  <a:gd name="T1" fmla="*/ 1 h 1"/>
                  <a:gd name="T2" fmla="*/ 0 w 1"/>
                  <a:gd name="T3" fmla="*/ 0 h 1"/>
                  <a:gd name="T4" fmla="*/ 1 w 1"/>
                  <a:gd name="T5" fmla="*/ 0 h 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">
                    <a:moveTo>
                      <a:pt x="0" y="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1" name="Freeform 453"/>
              <xdr:cNvSpPr>
                <a:spLocks noChangeAspect="1"/>
              </xdr:cNvSpPr>
            </xdr:nvSpPr>
            <xdr:spPr bwMode="auto">
              <a:xfrm>
                <a:off x="2337" y="3524"/>
                <a:ext cx="0" cy="0"/>
              </a:xfrm>
              <a:custGeom>
                <a:avLst/>
                <a:gdLst>
                  <a:gd name="T0" fmla="*/ 0 w 1"/>
                  <a:gd name="T1" fmla="*/ 1 h 1"/>
                  <a:gd name="T2" fmla="*/ 0 w 1"/>
                  <a:gd name="T3" fmla="*/ 0 h 1"/>
                  <a:gd name="T4" fmla="*/ 1 w 1"/>
                  <a:gd name="T5" fmla="*/ 0 h 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">
                    <a:moveTo>
                      <a:pt x="0" y="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2" name="Line 454"/>
              <xdr:cNvSpPr>
                <a:spLocks noChangeAspect="1" noChangeShapeType="1"/>
              </xdr:cNvSpPr>
            </xdr:nvSpPr>
            <xdr:spPr bwMode="auto">
              <a:xfrm>
                <a:off x="2327" y="3531"/>
                <a:ext cx="0" cy="0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73" name="Freeform 455"/>
              <xdr:cNvSpPr>
                <a:spLocks noChangeAspect="1"/>
              </xdr:cNvSpPr>
            </xdr:nvSpPr>
            <xdr:spPr bwMode="auto">
              <a:xfrm>
                <a:off x="2326" y="3530"/>
                <a:ext cx="1" cy="1"/>
              </a:xfrm>
              <a:custGeom>
                <a:avLst/>
                <a:gdLst>
                  <a:gd name="T0" fmla="*/ 0 w 9"/>
                  <a:gd name="T1" fmla="*/ 0 h 7"/>
                  <a:gd name="T2" fmla="*/ 0 w 9"/>
                  <a:gd name="T3" fmla="*/ 0 h 7"/>
                  <a:gd name="T4" fmla="*/ 0 w 9"/>
                  <a:gd name="T5" fmla="*/ 0 h 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9" h="7">
                    <a:moveTo>
                      <a:pt x="0" y="7"/>
                    </a:moveTo>
                    <a:lnTo>
                      <a:pt x="8" y="0"/>
                    </a:lnTo>
                    <a:lnTo>
                      <a:pt x="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4" name="Freeform 456"/>
              <xdr:cNvSpPr>
                <a:spLocks noChangeAspect="1"/>
              </xdr:cNvSpPr>
            </xdr:nvSpPr>
            <xdr:spPr bwMode="auto">
              <a:xfrm>
                <a:off x="2325" y="3529"/>
                <a:ext cx="2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5" name="Freeform 457"/>
              <xdr:cNvSpPr>
                <a:spLocks noChangeAspect="1"/>
              </xdr:cNvSpPr>
            </xdr:nvSpPr>
            <xdr:spPr bwMode="auto">
              <a:xfrm>
                <a:off x="2324" y="3528"/>
                <a:ext cx="3" cy="3"/>
              </a:xfrm>
              <a:custGeom>
                <a:avLst/>
                <a:gdLst>
                  <a:gd name="T0" fmla="*/ 0 w 23"/>
                  <a:gd name="T1" fmla="*/ 0 h 21"/>
                  <a:gd name="T2" fmla="*/ 0 w 23"/>
                  <a:gd name="T3" fmla="*/ 0 h 21"/>
                  <a:gd name="T4" fmla="*/ 0 w 23"/>
                  <a:gd name="T5" fmla="*/ 0 h 2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3" h="21">
                    <a:moveTo>
                      <a:pt x="0" y="21"/>
                    </a:moveTo>
                    <a:lnTo>
                      <a:pt x="22" y="0"/>
                    </a:lnTo>
                    <a:lnTo>
                      <a:pt x="2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6" name="Freeform 458"/>
              <xdr:cNvSpPr>
                <a:spLocks noChangeAspect="1"/>
              </xdr:cNvSpPr>
            </xdr:nvSpPr>
            <xdr:spPr bwMode="auto">
              <a:xfrm>
                <a:off x="2323" y="3527"/>
                <a:ext cx="4" cy="4"/>
              </a:xfrm>
              <a:custGeom>
                <a:avLst/>
                <a:gdLst>
                  <a:gd name="T0" fmla="*/ 0 w 29"/>
                  <a:gd name="T1" fmla="*/ 1 h 29"/>
                  <a:gd name="T2" fmla="*/ 1 w 29"/>
                  <a:gd name="T3" fmla="*/ 0 h 29"/>
                  <a:gd name="T4" fmla="*/ 1 w 29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9" h="29">
                    <a:moveTo>
                      <a:pt x="0" y="29"/>
                    </a:move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7" name="Freeform 459"/>
              <xdr:cNvSpPr>
                <a:spLocks noChangeAspect="1"/>
              </xdr:cNvSpPr>
            </xdr:nvSpPr>
            <xdr:spPr bwMode="auto">
              <a:xfrm>
                <a:off x="2322" y="3526"/>
                <a:ext cx="5" cy="5"/>
              </a:xfrm>
              <a:custGeom>
                <a:avLst/>
                <a:gdLst>
                  <a:gd name="T0" fmla="*/ 0 w 37"/>
                  <a:gd name="T1" fmla="*/ 1 h 35"/>
                  <a:gd name="T2" fmla="*/ 1 w 37"/>
                  <a:gd name="T3" fmla="*/ 0 h 35"/>
                  <a:gd name="T4" fmla="*/ 1 w 37"/>
                  <a:gd name="T5" fmla="*/ 0 h 3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7" h="35">
                    <a:moveTo>
                      <a:pt x="0" y="35"/>
                    </a:moveTo>
                    <a:lnTo>
                      <a:pt x="36" y="0"/>
                    </a:lnTo>
                    <a:lnTo>
                      <a:pt x="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8" name="Freeform 460"/>
              <xdr:cNvSpPr>
                <a:spLocks noChangeAspect="1"/>
              </xdr:cNvSpPr>
            </xdr:nvSpPr>
            <xdr:spPr bwMode="auto">
              <a:xfrm>
                <a:off x="2322" y="3525"/>
                <a:ext cx="5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9" name="Freeform 461"/>
              <xdr:cNvSpPr>
                <a:spLocks noChangeAspect="1"/>
              </xdr:cNvSpPr>
            </xdr:nvSpPr>
            <xdr:spPr bwMode="auto">
              <a:xfrm>
                <a:off x="2321" y="3524"/>
                <a:ext cx="6" cy="7"/>
              </a:xfrm>
              <a:custGeom>
                <a:avLst/>
                <a:gdLst>
                  <a:gd name="T0" fmla="*/ 0 w 51"/>
                  <a:gd name="T1" fmla="*/ 1 h 49"/>
                  <a:gd name="T2" fmla="*/ 1 w 51"/>
                  <a:gd name="T3" fmla="*/ 0 h 49"/>
                  <a:gd name="T4" fmla="*/ 1 w 51"/>
                  <a:gd name="T5" fmla="*/ 0 h 4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1" h="49">
                    <a:moveTo>
                      <a:pt x="0" y="49"/>
                    </a:moveTo>
                    <a:lnTo>
                      <a:pt x="50" y="0"/>
                    </a:lnTo>
                    <a:lnTo>
                      <a:pt x="5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0" name="Freeform 462"/>
              <xdr:cNvSpPr>
                <a:spLocks noChangeAspect="1"/>
              </xdr:cNvSpPr>
            </xdr:nvSpPr>
            <xdr:spPr bwMode="auto">
              <a:xfrm>
                <a:off x="2321" y="3525"/>
                <a:ext cx="4" cy="4"/>
              </a:xfrm>
              <a:custGeom>
                <a:avLst/>
                <a:gdLst>
                  <a:gd name="T0" fmla="*/ 0 w 31"/>
                  <a:gd name="T1" fmla="*/ 1 h 29"/>
                  <a:gd name="T2" fmla="*/ 1 w 31"/>
                  <a:gd name="T3" fmla="*/ 0 h 29"/>
                  <a:gd name="T4" fmla="*/ 1 w 31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29">
                    <a:moveTo>
                      <a:pt x="0" y="29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1" name="Freeform 463"/>
              <xdr:cNvSpPr>
                <a:spLocks noChangeAspect="1"/>
              </xdr:cNvSpPr>
            </xdr:nvSpPr>
            <xdr:spPr bwMode="auto">
              <a:xfrm>
                <a:off x="2315" y="3516"/>
                <a:ext cx="34" cy="0"/>
              </a:xfrm>
              <a:custGeom>
                <a:avLst/>
                <a:gdLst>
                  <a:gd name="T0" fmla="*/ 0 w 267"/>
                  <a:gd name="T1" fmla="*/ 4 w 267"/>
                  <a:gd name="T2" fmla="*/ 4 w 26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7">
                    <a:moveTo>
                      <a:pt x="0" y="0"/>
                    </a:moveTo>
                    <a:lnTo>
                      <a:pt x="266" y="0"/>
                    </a:lnTo>
                    <a:lnTo>
                      <a:pt x="2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2" name="Freeform 464"/>
              <xdr:cNvSpPr>
                <a:spLocks noChangeAspect="1"/>
              </xdr:cNvSpPr>
            </xdr:nvSpPr>
            <xdr:spPr bwMode="auto">
              <a:xfrm>
                <a:off x="2313" y="3496"/>
                <a:ext cx="38" cy="0"/>
              </a:xfrm>
              <a:custGeom>
                <a:avLst/>
                <a:gdLst>
                  <a:gd name="T0" fmla="*/ 0 w 309"/>
                  <a:gd name="T1" fmla="*/ 5 w 309"/>
                  <a:gd name="T2" fmla="*/ 5 w 30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9">
                    <a:moveTo>
                      <a:pt x="0" y="0"/>
                    </a:moveTo>
                    <a:lnTo>
                      <a:pt x="308" y="0"/>
                    </a:lnTo>
                    <a:lnTo>
                      <a:pt x="30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3" name="Freeform 465"/>
              <xdr:cNvSpPr>
                <a:spLocks noChangeAspect="1"/>
              </xdr:cNvSpPr>
            </xdr:nvSpPr>
            <xdr:spPr bwMode="auto">
              <a:xfrm>
                <a:off x="2316" y="3513"/>
                <a:ext cx="32" cy="0"/>
              </a:xfrm>
              <a:custGeom>
                <a:avLst/>
                <a:gdLst>
                  <a:gd name="T0" fmla="*/ 0 w 253"/>
                  <a:gd name="T1" fmla="*/ 4 w 253"/>
                  <a:gd name="T2" fmla="*/ 4 w 2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3">
                    <a:moveTo>
                      <a:pt x="0" y="0"/>
                    </a:moveTo>
                    <a:lnTo>
                      <a:pt x="252" y="0"/>
                    </a:lnTo>
                    <a:lnTo>
                      <a:pt x="2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4" name="Freeform 466"/>
              <xdr:cNvSpPr>
                <a:spLocks noChangeAspect="1"/>
              </xdr:cNvSpPr>
            </xdr:nvSpPr>
            <xdr:spPr bwMode="auto">
              <a:xfrm>
                <a:off x="2316" y="3499"/>
                <a:ext cx="32" cy="0"/>
              </a:xfrm>
              <a:custGeom>
                <a:avLst/>
                <a:gdLst>
                  <a:gd name="T0" fmla="*/ 4 w 256"/>
                  <a:gd name="T1" fmla="*/ 0 w 256"/>
                  <a:gd name="T2" fmla="*/ 0 w 2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6">
                    <a:moveTo>
                      <a:pt x="25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5" name="Freeform 467"/>
              <xdr:cNvSpPr>
                <a:spLocks noChangeAspect="1"/>
              </xdr:cNvSpPr>
            </xdr:nvSpPr>
            <xdr:spPr bwMode="auto">
              <a:xfrm>
                <a:off x="2316" y="3506"/>
                <a:ext cx="32" cy="0"/>
              </a:xfrm>
              <a:custGeom>
                <a:avLst/>
                <a:gdLst>
                  <a:gd name="T0" fmla="*/ 4 w 256"/>
                  <a:gd name="T1" fmla="*/ 0 w 256"/>
                  <a:gd name="T2" fmla="*/ 0 w 2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6">
                    <a:moveTo>
                      <a:pt x="25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6" name="Freeform 468"/>
              <xdr:cNvSpPr>
                <a:spLocks noChangeAspect="1"/>
              </xdr:cNvSpPr>
            </xdr:nvSpPr>
            <xdr:spPr bwMode="auto">
              <a:xfrm>
                <a:off x="2320" y="3499"/>
                <a:ext cx="24" cy="0"/>
              </a:xfrm>
              <a:custGeom>
                <a:avLst/>
                <a:gdLst>
                  <a:gd name="T0" fmla="*/ 0 w 196"/>
                  <a:gd name="T1" fmla="*/ 3 w 196"/>
                  <a:gd name="T2" fmla="*/ 3 w 19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6">
                    <a:moveTo>
                      <a:pt x="0" y="0"/>
                    </a:moveTo>
                    <a:lnTo>
                      <a:pt x="194" y="0"/>
                    </a:lnTo>
                    <a:lnTo>
                      <a:pt x="19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7" name="Freeform 469"/>
              <xdr:cNvSpPr>
                <a:spLocks noChangeAspect="1"/>
              </xdr:cNvSpPr>
            </xdr:nvSpPr>
            <xdr:spPr bwMode="auto">
              <a:xfrm>
                <a:off x="2317" y="3549"/>
                <a:ext cx="10" cy="0"/>
              </a:xfrm>
              <a:custGeom>
                <a:avLst/>
                <a:gdLst>
                  <a:gd name="T0" fmla="*/ 0 w 83"/>
                  <a:gd name="T1" fmla="*/ 1 w 83"/>
                  <a:gd name="T2" fmla="*/ 1 w 8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3">
                    <a:moveTo>
                      <a:pt x="0" y="0"/>
                    </a:moveTo>
                    <a:lnTo>
                      <a:pt x="82" y="0"/>
                    </a:lnTo>
                    <a:lnTo>
                      <a:pt x="8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8" name="Freeform 470"/>
              <xdr:cNvSpPr>
                <a:spLocks noChangeAspect="1"/>
              </xdr:cNvSpPr>
            </xdr:nvSpPr>
            <xdr:spPr bwMode="auto">
              <a:xfrm>
                <a:off x="2317" y="3524"/>
                <a:ext cx="10" cy="0"/>
              </a:xfrm>
              <a:custGeom>
                <a:avLst/>
                <a:gdLst>
                  <a:gd name="T0" fmla="*/ 0 w 83"/>
                  <a:gd name="T1" fmla="*/ 1 w 83"/>
                  <a:gd name="T2" fmla="*/ 1 w 8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3">
                    <a:moveTo>
                      <a:pt x="0" y="0"/>
                    </a:moveTo>
                    <a:lnTo>
                      <a:pt x="82" y="0"/>
                    </a:lnTo>
                    <a:lnTo>
                      <a:pt x="8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9" name="Freeform 471"/>
              <xdr:cNvSpPr>
                <a:spLocks noChangeAspect="1"/>
              </xdr:cNvSpPr>
            </xdr:nvSpPr>
            <xdr:spPr bwMode="auto">
              <a:xfrm>
                <a:off x="2321" y="3542"/>
                <a:ext cx="11" cy="0"/>
              </a:xfrm>
              <a:custGeom>
                <a:avLst/>
                <a:gdLst>
                  <a:gd name="T0" fmla="*/ 0 w 92"/>
                  <a:gd name="T1" fmla="*/ 1 w 92"/>
                  <a:gd name="T2" fmla="*/ 1 w 92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2">
                    <a:moveTo>
                      <a:pt x="0" y="0"/>
                    </a:moveTo>
                    <a:lnTo>
                      <a:pt x="91" y="0"/>
                    </a:lnTo>
                    <a:lnTo>
                      <a:pt x="9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90" name="Freeform 472"/>
              <xdr:cNvSpPr>
                <a:spLocks noChangeAspect="1"/>
              </xdr:cNvSpPr>
            </xdr:nvSpPr>
            <xdr:spPr bwMode="auto">
              <a:xfrm>
                <a:off x="2324" y="3537"/>
                <a:ext cx="3" cy="0"/>
              </a:xfrm>
              <a:custGeom>
                <a:avLst/>
                <a:gdLst>
                  <a:gd name="T0" fmla="*/ 0 w 24"/>
                  <a:gd name="T1" fmla="*/ 0 w 24"/>
                  <a:gd name="T2" fmla="*/ 0 w 2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">
                    <a:moveTo>
                      <a:pt x="0" y="0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91" name="Freeform 473"/>
              <xdr:cNvSpPr>
                <a:spLocks noChangeAspect="1"/>
              </xdr:cNvSpPr>
            </xdr:nvSpPr>
            <xdr:spPr bwMode="auto">
              <a:xfrm>
                <a:off x="2321" y="3531"/>
                <a:ext cx="6" cy="0"/>
              </a:xfrm>
              <a:custGeom>
                <a:avLst/>
                <a:gdLst>
                  <a:gd name="T0" fmla="*/ 0 w 52"/>
                  <a:gd name="T1" fmla="*/ 1 w 52"/>
                  <a:gd name="T2" fmla="*/ 1 w 52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2">
                    <a:moveTo>
                      <a:pt x="0" y="0"/>
                    </a:moveTo>
                    <a:lnTo>
                      <a:pt x="51" y="0"/>
                    </a:lnTo>
                    <a:lnTo>
                      <a:pt x="5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33" name="Group 474"/>
            <xdr:cNvGrpSpPr>
              <a:grpSpLocks noChangeAspect="1"/>
            </xdr:cNvGrpSpPr>
          </xdr:nvGrpSpPr>
          <xdr:grpSpPr bwMode="auto">
            <a:xfrm>
              <a:off x="1376" y="1627"/>
              <a:ext cx="421" cy="320"/>
              <a:chOff x="2322" y="2929"/>
              <a:chExt cx="147" cy="112"/>
            </a:xfrm>
          </xdr:grpSpPr>
          <xdr:sp macro="" textlink="">
            <xdr:nvSpPr>
              <xdr:cNvPr id="232" name="Freeform 475"/>
              <xdr:cNvSpPr>
                <a:spLocks noChangeAspect="1"/>
              </xdr:cNvSpPr>
            </xdr:nvSpPr>
            <xdr:spPr bwMode="auto">
              <a:xfrm>
                <a:off x="2464" y="2937"/>
                <a:ext cx="2" cy="0"/>
              </a:xfrm>
              <a:custGeom>
                <a:avLst/>
                <a:gdLst>
                  <a:gd name="T0" fmla="*/ 0 w 17"/>
                  <a:gd name="T1" fmla="*/ 0 w 17"/>
                  <a:gd name="T2" fmla="*/ 0 w 1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7">
                    <a:moveTo>
                      <a:pt x="0" y="0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3" name="Freeform 476"/>
              <xdr:cNvSpPr>
                <a:spLocks noChangeAspect="1"/>
              </xdr:cNvSpPr>
            </xdr:nvSpPr>
            <xdr:spPr bwMode="auto">
              <a:xfrm>
                <a:off x="2419" y="2943"/>
                <a:ext cx="44" cy="0"/>
              </a:xfrm>
              <a:custGeom>
                <a:avLst/>
                <a:gdLst>
                  <a:gd name="T0" fmla="*/ 0 w 356"/>
                  <a:gd name="T1" fmla="*/ 5 w 356"/>
                  <a:gd name="T2" fmla="*/ 5 w 3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56">
                    <a:moveTo>
                      <a:pt x="0" y="0"/>
                    </a:moveTo>
                    <a:lnTo>
                      <a:pt x="355" y="0"/>
                    </a:lnTo>
                    <a:lnTo>
                      <a:pt x="35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4" name="Freeform 477"/>
              <xdr:cNvSpPr>
                <a:spLocks noChangeAspect="1"/>
              </xdr:cNvSpPr>
            </xdr:nvSpPr>
            <xdr:spPr bwMode="auto">
              <a:xfrm>
                <a:off x="2395" y="3020"/>
                <a:ext cx="62" cy="21"/>
              </a:xfrm>
              <a:custGeom>
                <a:avLst/>
                <a:gdLst>
                  <a:gd name="T0" fmla="*/ 8 w 493"/>
                  <a:gd name="T1" fmla="*/ 0 h 147"/>
                  <a:gd name="T2" fmla="*/ 0 w 493"/>
                  <a:gd name="T3" fmla="*/ 3 h 147"/>
                  <a:gd name="T4" fmla="*/ 0 w 493"/>
                  <a:gd name="T5" fmla="*/ 3 h 1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3" h="147">
                    <a:moveTo>
                      <a:pt x="493" y="0"/>
                    </a:moveTo>
                    <a:lnTo>
                      <a:pt x="0" y="147"/>
                    </a:lnTo>
                    <a:lnTo>
                      <a:pt x="1" y="14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5" name="Freeform 478"/>
              <xdr:cNvSpPr>
                <a:spLocks noChangeAspect="1"/>
              </xdr:cNvSpPr>
            </xdr:nvSpPr>
            <xdr:spPr bwMode="auto">
              <a:xfrm>
                <a:off x="2419" y="3018"/>
                <a:ext cx="39" cy="0"/>
              </a:xfrm>
              <a:custGeom>
                <a:avLst/>
                <a:gdLst>
                  <a:gd name="T0" fmla="*/ 0 w 310"/>
                  <a:gd name="T1" fmla="*/ 5 w 310"/>
                  <a:gd name="T2" fmla="*/ 5 w 31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10">
                    <a:moveTo>
                      <a:pt x="0" y="0"/>
                    </a:moveTo>
                    <a:lnTo>
                      <a:pt x="309" y="0"/>
                    </a:lnTo>
                    <a:lnTo>
                      <a:pt x="31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6" name="Freeform 479"/>
              <xdr:cNvSpPr>
                <a:spLocks noChangeAspect="1"/>
              </xdr:cNvSpPr>
            </xdr:nvSpPr>
            <xdr:spPr bwMode="auto">
              <a:xfrm>
                <a:off x="2415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7" name="Freeform 480"/>
              <xdr:cNvSpPr>
                <a:spLocks noChangeAspect="1"/>
              </xdr:cNvSpPr>
            </xdr:nvSpPr>
            <xdr:spPr bwMode="auto">
              <a:xfrm>
                <a:off x="2419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8" name="Freeform 481"/>
              <xdr:cNvSpPr>
                <a:spLocks noChangeAspect="1"/>
              </xdr:cNvSpPr>
            </xdr:nvSpPr>
            <xdr:spPr bwMode="auto">
              <a:xfrm>
                <a:off x="2457" y="2929"/>
                <a:ext cx="7" cy="93"/>
              </a:xfrm>
              <a:custGeom>
                <a:avLst/>
                <a:gdLst>
                  <a:gd name="T0" fmla="*/ 1 w 58"/>
                  <a:gd name="T1" fmla="*/ 0 h 652"/>
                  <a:gd name="T2" fmla="*/ 0 w 58"/>
                  <a:gd name="T3" fmla="*/ 13 h 652"/>
                  <a:gd name="T4" fmla="*/ 0 w 58"/>
                  <a:gd name="T5" fmla="*/ 13 h 6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8" h="652">
                    <a:moveTo>
                      <a:pt x="58" y="0"/>
                    </a:moveTo>
                    <a:lnTo>
                      <a:pt x="0" y="652"/>
                    </a:lnTo>
                    <a:lnTo>
                      <a:pt x="1" y="65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9" name="Freeform 482"/>
              <xdr:cNvSpPr>
                <a:spLocks noChangeAspect="1"/>
              </xdr:cNvSpPr>
            </xdr:nvSpPr>
            <xdr:spPr bwMode="auto">
              <a:xfrm>
                <a:off x="2328" y="2943"/>
                <a:ext cx="44" cy="0"/>
              </a:xfrm>
              <a:custGeom>
                <a:avLst/>
                <a:gdLst>
                  <a:gd name="T0" fmla="*/ 5 w 355"/>
                  <a:gd name="T1" fmla="*/ 0 w 355"/>
                  <a:gd name="T2" fmla="*/ 0 w 355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55">
                    <a:moveTo>
                      <a:pt x="355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0" name="Freeform 483"/>
              <xdr:cNvSpPr>
                <a:spLocks noChangeAspect="1"/>
              </xdr:cNvSpPr>
            </xdr:nvSpPr>
            <xdr:spPr bwMode="auto">
              <a:xfrm>
                <a:off x="2334" y="3018"/>
                <a:ext cx="38" cy="0"/>
              </a:xfrm>
              <a:custGeom>
                <a:avLst/>
                <a:gdLst>
                  <a:gd name="T0" fmla="*/ 5 w 309"/>
                  <a:gd name="T1" fmla="*/ 0 w 309"/>
                  <a:gd name="T2" fmla="*/ 0 w 30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9">
                    <a:moveTo>
                      <a:pt x="309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1" name="Freeform 484"/>
              <xdr:cNvSpPr>
                <a:spLocks noChangeAspect="1"/>
              </xdr:cNvSpPr>
            </xdr:nvSpPr>
            <xdr:spPr bwMode="auto">
              <a:xfrm>
                <a:off x="2327" y="2929"/>
                <a:ext cx="7" cy="93"/>
              </a:xfrm>
              <a:custGeom>
                <a:avLst/>
                <a:gdLst>
                  <a:gd name="T0" fmla="*/ 0 w 59"/>
                  <a:gd name="T1" fmla="*/ 0 h 652"/>
                  <a:gd name="T2" fmla="*/ 1 w 59"/>
                  <a:gd name="T3" fmla="*/ 13 h 652"/>
                  <a:gd name="T4" fmla="*/ 1 w 59"/>
                  <a:gd name="T5" fmla="*/ 13 h 6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9" h="652">
                    <a:moveTo>
                      <a:pt x="0" y="0"/>
                    </a:moveTo>
                    <a:lnTo>
                      <a:pt x="58" y="652"/>
                    </a:lnTo>
                    <a:lnTo>
                      <a:pt x="59" y="65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2" name="Freeform 485"/>
              <xdr:cNvSpPr>
                <a:spLocks noChangeAspect="1"/>
              </xdr:cNvSpPr>
            </xdr:nvSpPr>
            <xdr:spPr bwMode="auto">
              <a:xfrm>
                <a:off x="2376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3" name="Freeform 486"/>
              <xdr:cNvSpPr>
                <a:spLocks noChangeAspect="1"/>
              </xdr:cNvSpPr>
            </xdr:nvSpPr>
            <xdr:spPr bwMode="auto">
              <a:xfrm>
                <a:off x="2372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4" name="Freeform 487"/>
              <xdr:cNvSpPr>
                <a:spLocks noChangeAspect="1"/>
              </xdr:cNvSpPr>
            </xdr:nvSpPr>
            <xdr:spPr bwMode="auto">
              <a:xfrm>
                <a:off x="2334" y="3018"/>
                <a:ext cx="81" cy="0"/>
              </a:xfrm>
              <a:custGeom>
                <a:avLst/>
                <a:gdLst>
                  <a:gd name="T0" fmla="*/ 0 w 653"/>
                  <a:gd name="T1" fmla="*/ 10 w 653"/>
                  <a:gd name="T2" fmla="*/ 10 w 6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653">
                    <a:moveTo>
                      <a:pt x="0" y="0"/>
                    </a:moveTo>
                    <a:lnTo>
                      <a:pt x="652" y="0"/>
                    </a:lnTo>
                    <a:lnTo>
                      <a:pt x="6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5" name="Freeform 488"/>
              <xdr:cNvSpPr>
                <a:spLocks noChangeAspect="1"/>
              </xdr:cNvSpPr>
            </xdr:nvSpPr>
            <xdr:spPr bwMode="auto">
              <a:xfrm>
                <a:off x="2334" y="3020"/>
                <a:ext cx="62" cy="21"/>
              </a:xfrm>
              <a:custGeom>
                <a:avLst/>
                <a:gdLst>
                  <a:gd name="T0" fmla="*/ 0 w 493"/>
                  <a:gd name="T1" fmla="*/ 0 h 147"/>
                  <a:gd name="T2" fmla="*/ 8 w 493"/>
                  <a:gd name="T3" fmla="*/ 3 h 147"/>
                  <a:gd name="T4" fmla="*/ 8 w 493"/>
                  <a:gd name="T5" fmla="*/ 3 h 1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3" h="147">
                    <a:moveTo>
                      <a:pt x="0" y="0"/>
                    </a:moveTo>
                    <a:lnTo>
                      <a:pt x="492" y="147"/>
                    </a:lnTo>
                    <a:lnTo>
                      <a:pt x="493" y="14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6" name="Freeform 489"/>
              <xdr:cNvSpPr>
                <a:spLocks noChangeAspect="1"/>
              </xdr:cNvSpPr>
            </xdr:nvSpPr>
            <xdr:spPr bwMode="auto">
              <a:xfrm>
                <a:off x="2376" y="2943"/>
                <a:ext cx="39" cy="0"/>
              </a:xfrm>
              <a:custGeom>
                <a:avLst/>
                <a:gdLst>
                  <a:gd name="T0" fmla="*/ 0 w 314"/>
                  <a:gd name="T1" fmla="*/ 5 w 314"/>
                  <a:gd name="T2" fmla="*/ 5 w 31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14">
                    <a:moveTo>
                      <a:pt x="0" y="0"/>
                    </a:moveTo>
                    <a:lnTo>
                      <a:pt x="313" y="0"/>
                    </a:lnTo>
                    <a:lnTo>
                      <a:pt x="3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7" name="Freeform 490"/>
              <xdr:cNvSpPr>
                <a:spLocks noChangeAspect="1"/>
              </xdr:cNvSpPr>
            </xdr:nvSpPr>
            <xdr:spPr bwMode="auto">
              <a:xfrm>
                <a:off x="2466" y="2933"/>
                <a:ext cx="3" cy="4"/>
              </a:xfrm>
              <a:custGeom>
                <a:avLst/>
                <a:gdLst>
                  <a:gd name="T0" fmla="*/ 0 w 29"/>
                  <a:gd name="T1" fmla="*/ 1 h 28"/>
                  <a:gd name="T2" fmla="*/ 0 w 29"/>
                  <a:gd name="T3" fmla="*/ 0 h 28"/>
                  <a:gd name="T4" fmla="*/ 0 w 29"/>
                  <a:gd name="T5" fmla="*/ 0 h 28"/>
                  <a:gd name="T6" fmla="*/ 0 w 29"/>
                  <a:gd name="T7" fmla="*/ 0 h 28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9" h="28">
                    <a:moveTo>
                      <a:pt x="0" y="28"/>
                    </a:moveTo>
                    <a:lnTo>
                      <a:pt x="20" y="21"/>
                    </a:ln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" name="Freeform 491"/>
              <xdr:cNvSpPr>
                <a:spLocks noChangeAspect="1"/>
              </xdr:cNvSpPr>
            </xdr:nvSpPr>
            <xdr:spPr bwMode="auto">
              <a:xfrm>
                <a:off x="2322" y="2933"/>
                <a:ext cx="4" cy="4"/>
              </a:xfrm>
              <a:custGeom>
                <a:avLst/>
                <a:gdLst>
                  <a:gd name="T0" fmla="*/ 0 w 29"/>
                  <a:gd name="T1" fmla="*/ 0 h 28"/>
                  <a:gd name="T2" fmla="*/ 0 w 29"/>
                  <a:gd name="T3" fmla="*/ 0 h 28"/>
                  <a:gd name="T4" fmla="*/ 1 w 29"/>
                  <a:gd name="T5" fmla="*/ 1 h 28"/>
                  <a:gd name="T6" fmla="*/ 1 w 29"/>
                  <a:gd name="T7" fmla="*/ 1 h 28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9" h="28">
                    <a:moveTo>
                      <a:pt x="0" y="0"/>
                    </a:moveTo>
                    <a:lnTo>
                      <a:pt x="8" y="21"/>
                    </a:lnTo>
                    <a:lnTo>
                      <a:pt x="28" y="28"/>
                    </a:lnTo>
                    <a:lnTo>
                      <a:pt x="29" y="28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" name="Freeform 492"/>
              <xdr:cNvSpPr>
                <a:spLocks noChangeAspect="1"/>
              </xdr:cNvSpPr>
            </xdr:nvSpPr>
            <xdr:spPr bwMode="auto">
              <a:xfrm>
                <a:off x="2325" y="2937"/>
                <a:ext cx="3" cy="0"/>
              </a:xfrm>
              <a:custGeom>
                <a:avLst/>
                <a:gdLst>
                  <a:gd name="T0" fmla="*/ 0 w 17"/>
                  <a:gd name="T1" fmla="*/ 1 w 17"/>
                  <a:gd name="T2" fmla="*/ 1 w 1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7">
                    <a:moveTo>
                      <a:pt x="0" y="0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34" name="Freeform 493"/>
            <xdr:cNvSpPr>
              <a:spLocks noChangeAspect="1"/>
            </xdr:cNvSpPr>
          </xdr:nvSpPr>
          <xdr:spPr bwMode="auto">
            <a:xfrm>
              <a:off x="1214" y="1627"/>
              <a:ext cx="720" cy="0"/>
            </a:xfrm>
            <a:custGeom>
              <a:avLst/>
              <a:gdLst>
                <a:gd name="T0" fmla="*/ 0 w 2020"/>
                <a:gd name="T1" fmla="*/ 256 w 2020"/>
                <a:gd name="T2" fmla="*/ 257 w 202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020">
                  <a:moveTo>
                    <a:pt x="0" y="0"/>
                  </a:moveTo>
                  <a:lnTo>
                    <a:pt x="2018" y="0"/>
                  </a:lnTo>
                  <a:lnTo>
                    <a:pt x="202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" name="Freeform 494"/>
            <xdr:cNvSpPr>
              <a:spLocks noChangeAspect="1"/>
            </xdr:cNvSpPr>
          </xdr:nvSpPr>
          <xdr:spPr bwMode="auto">
            <a:xfrm>
              <a:off x="1799" y="1621"/>
              <a:ext cx="0" cy="6"/>
            </a:xfrm>
            <a:custGeom>
              <a:avLst/>
              <a:gdLst>
                <a:gd name="T0" fmla="*/ 0 w 1"/>
                <a:gd name="T1" fmla="*/ 2 h 15"/>
                <a:gd name="T2" fmla="*/ 0 w 1"/>
                <a:gd name="T3" fmla="*/ 0 h 15"/>
                <a:gd name="T4" fmla="*/ 1 w 1"/>
                <a:gd name="T5" fmla="*/ 0 h 1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5">
                  <a:moveTo>
                    <a:pt x="0" y="15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" name="Freeform 495"/>
            <xdr:cNvSpPr>
              <a:spLocks noChangeAspect="1"/>
            </xdr:cNvSpPr>
          </xdr:nvSpPr>
          <xdr:spPr bwMode="auto">
            <a:xfrm>
              <a:off x="1376" y="1621"/>
              <a:ext cx="0" cy="6"/>
            </a:xfrm>
            <a:custGeom>
              <a:avLst/>
              <a:gdLst>
                <a:gd name="T0" fmla="*/ 0 w 1"/>
                <a:gd name="T1" fmla="*/ 2 h 15"/>
                <a:gd name="T2" fmla="*/ 0 w 1"/>
                <a:gd name="T3" fmla="*/ 0 h 15"/>
                <a:gd name="T4" fmla="*/ 1 w 1"/>
                <a:gd name="T5" fmla="*/ 0 h 1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5">
                  <a:moveTo>
                    <a:pt x="0" y="15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" name="Freeform 496"/>
            <xdr:cNvSpPr>
              <a:spLocks noChangeAspect="1"/>
            </xdr:cNvSpPr>
          </xdr:nvSpPr>
          <xdr:spPr bwMode="auto">
            <a:xfrm>
              <a:off x="1376" y="1621"/>
              <a:ext cx="423" cy="0"/>
            </a:xfrm>
            <a:custGeom>
              <a:avLst/>
              <a:gdLst>
                <a:gd name="T0" fmla="*/ 0 w 1184"/>
                <a:gd name="T1" fmla="*/ 151 w 1184"/>
                <a:gd name="T2" fmla="*/ 151 w 118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184">
                  <a:moveTo>
                    <a:pt x="0" y="0"/>
                  </a:moveTo>
                  <a:lnTo>
                    <a:pt x="1183" y="0"/>
                  </a:lnTo>
                  <a:lnTo>
                    <a:pt x="118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" name="Freeform 497"/>
            <xdr:cNvSpPr>
              <a:spLocks noChangeAspect="1"/>
            </xdr:cNvSpPr>
          </xdr:nvSpPr>
          <xdr:spPr bwMode="auto">
            <a:xfrm>
              <a:off x="1376" y="1627"/>
              <a:ext cx="423" cy="0"/>
            </a:xfrm>
            <a:custGeom>
              <a:avLst/>
              <a:gdLst>
                <a:gd name="T0" fmla="*/ 0 w 1184"/>
                <a:gd name="T1" fmla="*/ 151 w 1184"/>
                <a:gd name="T2" fmla="*/ 151 w 118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184">
                  <a:moveTo>
                    <a:pt x="0" y="0"/>
                  </a:moveTo>
                  <a:lnTo>
                    <a:pt x="1183" y="0"/>
                  </a:lnTo>
                  <a:lnTo>
                    <a:pt x="118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" name="Freeform 498"/>
            <xdr:cNvSpPr>
              <a:spLocks noChangeAspect="1"/>
            </xdr:cNvSpPr>
          </xdr:nvSpPr>
          <xdr:spPr bwMode="auto">
            <a:xfrm>
              <a:off x="1797" y="1627"/>
              <a:ext cx="5" cy="5"/>
            </a:xfrm>
            <a:custGeom>
              <a:avLst/>
              <a:gdLst>
                <a:gd name="T0" fmla="*/ 2 w 12"/>
                <a:gd name="T1" fmla="*/ 0 h 11"/>
                <a:gd name="T2" fmla="*/ 0 w 12"/>
                <a:gd name="T3" fmla="*/ 0 h 11"/>
                <a:gd name="T4" fmla="*/ 0 w 12"/>
                <a:gd name="T5" fmla="*/ 2 h 11"/>
                <a:gd name="T6" fmla="*/ 0 w 12"/>
                <a:gd name="T7" fmla="*/ 2 h 1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11">
                  <a:moveTo>
                    <a:pt x="12" y="0"/>
                  </a:moveTo>
                  <a:lnTo>
                    <a:pt x="3" y="3"/>
                  </a:lnTo>
                  <a:lnTo>
                    <a:pt x="0" y="11"/>
                  </a:lnTo>
                  <a:lnTo>
                    <a:pt x="1" y="11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" name="Freeform 499"/>
            <xdr:cNvSpPr>
              <a:spLocks noChangeAspect="1"/>
            </xdr:cNvSpPr>
          </xdr:nvSpPr>
          <xdr:spPr bwMode="auto">
            <a:xfrm>
              <a:off x="1371" y="1627"/>
              <a:ext cx="5" cy="5"/>
            </a:xfrm>
            <a:custGeom>
              <a:avLst/>
              <a:gdLst>
                <a:gd name="T0" fmla="*/ 2 w 12"/>
                <a:gd name="T1" fmla="*/ 2 h 11"/>
                <a:gd name="T2" fmla="*/ 2 w 12"/>
                <a:gd name="T3" fmla="*/ 0 h 11"/>
                <a:gd name="T4" fmla="*/ 0 w 12"/>
                <a:gd name="T5" fmla="*/ 0 h 11"/>
                <a:gd name="T6" fmla="*/ 0 w 12"/>
                <a:gd name="T7" fmla="*/ 0 h 1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11">
                  <a:moveTo>
                    <a:pt x="12" y="11"/>
                  </a:moveTo>
                  <a:lnTo>
                    <a:pt x="9" y="3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" name="Freeform 500"/>
            <xdr:cNvSpPr>
              <a:spLocks noChangeAspect="1"/>
            </xdr:cNvSpPr>
          </xdr:nvSpPr>
          <xdr:spPr bwMode="auto">
            <a:xfrm>
              <a:off x="1802" y="1627"/>
              <a:ext cx="94" cy="0"/>
            </a:xfrm>
            <a:custGeom>
              <a:avLst/>
              <a:gdLst>
                <a:gd name="T0" fmla="*/ 0 w 268"/>
                <a:gd name="T1" fmla="*/ 33 w 268"/>
                <a:gd name="T2" fmla="*/ 33 w 26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68">
                  <a:moveTo>
                    <a:pt x="0" y="0"/>
                  </a:moveTo>
                  <a:lnTo>
                    <a:pt x="267" y="0"/>
                  </a:lnTo>
                  <a:lnTo>
                    <a:pt x="26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2" name="Freeform 501"/>
            <xdr:cNvSpPr>
              <a:spLocks noChangeAspect="1"/>
            </xdr:cNvSpPr>
          </xdr:nvSpPr>
          <xdr:spPr bwMode="auto">
            <a:xfrm>
              <a:off x="1896" y="1592"/>
              <a:ext cx="32" cy="35"/>
            </a:xfrm>
            <a:custGeom>
              <a:avLst/>
              <a:gdLst>
                <a:gd name="T0" fmla="*/ 0 w 87"/>
                <a:gd name="T1" fmla="*/ 15 h 82"/>
                <a:gd name="T2" fmla="*/ 6 w 87"/>
                <a:gd name="T3" fmla="*/ 13 h 82"/>
                <a:gd name="T4" fmla="*/ 10 w 87"/>
                <a:gd name="T5" fmla="*/ 8 h 82"/>
                <a:gd name="T6" fmla="*/ 12 w 87"/>
                <a:gd name="T7" fmla="*/ 0 h 82"/>
                <a:gd name="T8" fmla="*/ 12 w 87"/>
                <a:gd name="T9" fmla="*/ 0 h 8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7" h="82">
                  <a:moveTo>
                    <a:pt x="0" y="82"/>
                  </a:moveTo>
                  <a:lnTo>
                    <a:pt x="43" y="71"/>
                  </a:lnTo>
                  <a:lnTo>
                    <a:pt x="74" y="41"/>
                  </a:lnTo>
                  <a:lnTo>
                    <a:pt x="86" y="0"/>
                  </a:lnTo>
                  <a:lnTo>
                    <a:pt x="87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" name="Freeform 502"/>
            <xdr:cNvSpPr>
              <a:spLocks noChangeAspect="1"/>
            </xdr:cNvSpPr>
          </xdr:nvSpPr>
          <xdr:spPr bwMode="auto">
            <a:xfrm>
              <a:off x="1317" y="1592"/>
              <a:ext cx="31" cy="35"/>
            </a:xfrm>
            <a:custGeom>
              <a:avLst/>
              <a:gdLst>
                <a:gd name="T0" fmla="*/ 0 w 87"/>
                <a:gd name="T1" fmla="*/ 0 h 82"/>
                <a:gd name="T2" fmla="*/ 2 w 87"/>
                <a:gd name="T3" fmla="*/ 8 h 82"/>
                <a:gd name="T4" fmla="*/ 6 w 87"/>
                <a:gd name="T5" fmla="*/ 13 h 82"/>
                <a:gd name="T6" fmla="*/ 11 w 87"/>
                <a:gd name="T7" fmla="*/ 15 h 82"/>
                <a:gd name="T8" fmla="*/ 11 w 87"/>
                <a:gd name="T9" fmla="*/ 15 h 8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7" h="82">
                  <a:moveTo>
                    <a:pt x="0" y="0"/>
                  </a:moveTo>
                  <a:lnTo>
                    <a:pt x="13" y="41"/>
                  </a:lnTo>
                  <a:lnTo>
                    <a:pt x="44" y="71"/>
                  </a:lnTo>
                  <a:lnTo>
                    <a:pt x="86" y="82"/>
                  </a:lnTo>
                  <a:lnTo>
                    <a:pt x="87" y="8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" name="Freeform 503"/>
            <xdr:cNvSpPr>
              <a:spLocks noChangeAspect="1"/>
            </xdr:cNvSpPr>
          </xdr:nvSpPr>
          <xdr:spPr bwMode="auto">
            <a:xfrm>
              <a:off x="1314" y="1512"/>
              <a:ext cx="3" cy="80"/>
            </a:xfrm>
            <a:custGeom>
              <a:avLst/>
              <a:gdLst>
                <a:gd name="T0" fmla="*/ 0 w 7"/>
                <a:gd name="T1" fmla="*/ 0 h 196"/>
                <a:gd name="T2" fmla="*/ 1 w 7"/>
                <a:gd name="T3" fmla="*/ 33 h 196"/>
                <a:gd name="T4" fmla="*/ 1 w 7"/>
                <a:gd name="T5" fmla="*/ 33 h 19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196">
                  <a:moveTo>
                    <a:pt x="0" y="0"/>
                  </a:moveTo>
                  <a:lnTo>
                    <a:pt x="6" y="196"/>
                  </a:lnTo>
                  <a:lnTo>
                    <a:pt x="7" y="19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" name="Freeform 504"/>
            <xdr:cNvSpPr>
              <a:spLocks noChangeAspect="1"/>
            </xdr:cNvSpPr>
          </xdr:nvSpPr>
          <xdr:spPr bwMode="auto">
            <a:xfrm>
              <a:off x="1928" y="1512"/>
              <a:ext cx="3" cy="80"/>
            </a:xfrm>
            <a:custGeom>
              <a:avLst/>
              <a:gdLst>
                <a:gd name="T0" fmla="*/ 2 w 6"/>
                <a:gd name="T1" fmla="*/ 0 h 196"/>
                <a:gd name="T2" fmla="*/ 0 w 6"/>
                <a:gd name="T3" fmla="*/ 33 h 196"/>
                <a:gd name="T4" fmla="*/ 1 w 6"/>
                <a:gd name="T5" fmla="*/ 33 h 19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6" h="196">
                  <a:moveTo>
                    <a:pt x="6" y="0"/>
                  </a:moveTo>
                  <a:lnTo>
                    <a:pt x="0" y="196"/>
                  </a:lnTo>
                  <a:lnTo>
                    <a:pt x="1" y="19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" name="Freeform 505"/>
            <xdr:cNvSpPr>
              <a:spLocks noChangeAspect="1"/>
            </xdr:cNvSpPr>
          </xdr:nvSpPr>
          <xdr:spPr bwMode="auto">
            <a:xfrm>
              <a:off x="1797" y="1632"/>
              <a:ext cx="0" cy="6"/>
            </a:xfrm>
            <a:custGeom>
              <a:avLst/>
              <a:gdLst>
                <a:gd name="T0" fmla="*/ 0 w 1"/>
                <a:gd name="T1" fmla="*/ 0 h 16"/>
                <a:gd name="T2" fmla="*/ 0 w 1"/>
                <a:gd name="T3" fmla="*/ 2 h 16"/>
                <a:gd name="T4" fmla="*/ 1 w 1"/>
                <a:gd name="T5" fmla="*/ 2 h 1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6">
                  <a:moveTo>
                    <a:pt x="0" y="0"/>
                  </a:moveTo>
                  <a:lnTo>
                    <a:pt x="0" y="16"/>
                  </a:lnTo>
                  <a:lnTo>
                    <a:pt x="1" y="1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" name="Freeform 506"/>
            <xdr:cNvSpPr>
              <a:spLocks noChangeAspect="1"/>
            </xdr:cNvSpPr>
          </xdr:nvSpPr>
          <xdr:spPr bwMode="auto">
            <a:xfrm>
              <a:off x="1376" y="1632"/>
              <a:ext cx="0" cy="6"/>
            </a:xfrm>
            <a:custGeom>
              <a:avLst/>
              <a:gdLst>
                <a:gd name="T0" fmla="*/ 0 w 1"/>
                <a:gd name="T1" fmla="*/ 0 h 16"/>
                <a:gd name="T2" fmla="*/ 0 w 1"/>
                <a:gd name="T3" fmla="*/ 2 h 16"/>
                <a:gd name="T4" fmla="*/ 1 w 1"/>
                <a:gd name="T5" fmla="*/ 2 h 1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6">
                  <a:moveTo>
                    <a:pt x="0" y="0"/>
                  </a:moveTo>
                  <a:lnTo>
                    <a:pt x="0" y="16"/>
                  </a:lnTo>
                  <a:lnTo>
                    <a:pt x="1" y="1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8" name="Freeform 507"/>
            <xdr:cNvSpPr>
              <a:spLocks noChangeAspect="1"/>
            </xdr:cNvSpPr>
          </xdr:nvSpPr>
          <xdr:spPr bwMode="auto">
            <a:xfrm>
              <a:off x="1348" y="1627"/>
              <a:ext cx="26" cy="0"/>
            </a:xfrm>
            <a:custGeom>
              <a:avLst/>
              <a:gdLst>
                <a:gd name="T0" fmla="*/ 0 w 70"/>
                <a:gd name="T1" fmla="*/ 10 w 70"/>
                <a:gd name="T2" fmla="*/ 10 w 7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0">
                  <a:moveTo>
                    <a:pt x="0" y="0"/>
                  </a:moveTo>
                  <a:lnTo>
                    <a:pt x="69" y="0"/>
                  </a:lnTo>
                  <a:lnTo>
                    <a:pt x="7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9" name="Freeform 508"/>
            <xdr:cNvSpPr>
              <a:spLocks noChangeAspect="1"/>
            </xdr:cNvSpPr>
          </xdr:nvSpPr>
          <xdr:spPr bwMode="auto">
            <a:xfrm>
              <a:off x="1357" y="1478"/>
              <a:ext cx="35" cy="0"/>
            </a:xfrm>
            <a:custGeom>
              <a:avLst/>
              <a:gdLst>
                <a:gd name="T0" fmla="*/ 0 w 98"/>
                <a:gd name="T1" fmla="*/ 13 w 98"/>
                <a:gd name="T2" fmla="*/ 13 w 9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">
                  <a:moveTo>
                    <a:pt x="0" y="0"/>
                  </a:moveTo>
                  <a:lnTo>
                    <a:pt x="97" y="0"/>
                  </a:lnTo>
                  <a:lnTo>
                    <a:pt x="9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" name="Freeform 509"/>
            <xdr:cNvSpPr>
              <a:spLocks noChangeAspect="1"/>
            </xdr:cNvSpPr>
          </xdr:nvSpPr>
          <xdr:spPr bwMode="auto">
            <a:xfrm>
              <a:off x="1357" y="1460"/>
              <a:ext cx="0" cy="18"/>
            </a:xfrm>
            <a:custGeom>
              <a:avLst/>
              <a:gdLst>
                <a:gd name="T0" fmla="*/ 0 w 1"/>
                <a:gd name="T1" fmla="*/ 0 h 45"/>
                <a:gd name="T2" fmla="*/ 0 w 1"/>
                <a:gd name="T3" fmla="*/ 7 h 45"/>
                <a:gd name="T4" fmla="*/ 1 w 1"/>
                <a:gd name="T5" fmla="*/ 7 h 4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45">
                  <a:moveTo>
                    <a:pt x="0" y="0"/>
                  </a:moveTo>
                  <a:lnTo>
                    <a:pt x="0" y="45"/>
                  </a:lnTo>
                  <a:lnTo>
                    <a:pt x="1" y="45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" name="Freeform 510"/>
            <xdr:cNvSpPr>
              <a:spLocks noChangeAspect="1"/>
            </xdr:cNvSpPr>
          </xdr:nvSpPr>
          <xdr:spPr bwMode="auto">
            <a:xfrm>
              <a:off x="1365" y="1478"/>
              <a:ext cx="27" cy="0"/>
            </a:xfrm>
            <a:custGeom>
              <a:avLst/>
              <a:gdLst>
                <a:gd name="T0" fmla="*/ 0 w 75"/>
                <a:gd name="T1" fmla="*/ 10 w 75"/>
                <a:gd name="T2" fmla="*/ 10 w 7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5">
                  <a:moveTo>
                    <a:pt x="0" y="0"/>
                  </a:moveTo>
                  <a:lnTo>
                    <a:pt x="74" y="0"/>
                  </a:lnTo>
                  <a:lnTo>
                    <a:pt x="7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" name="Freeform 511"/>
            <xdr:cNvSpPr>
              <a:spLocks noChangeAspect="1"/>
            </xdr:cNvSpPr>
          </xdr:nvSpPr>
          <xdr:spPr bwMode="auto">
            <a:xfrm>
              <a:off x="1785" y="1478"/>
              <a:ext cx="34" cy="0"/>
            </a:xfrm>
            <a:custGeom>
              <a:avLst/>
              <a:gdLst>
                <a:gd name="T0" fmla="*/ 12 w 98"/>
                <a:gd name="T1" fmla="*/ 0 w 98"/>
                <a:gd name="T2" fmla="*/ 0 w 9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">
                  <a:moveTo>
                    <a:pt x="98" y="0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3" name="Freeform 512"/>
            <xdr:cNvSpPr>
              <a:spLocks noChangeAspect="1"/>
            </xdr:cNvSpPr>
          </xdr:nvSpPr>
          <xdr:spPr bwMode="auto">
            <a:xfrm>
              <a:off x="1783" y="1478"/>
              <a:ext cx="25" cy="0"/>
            </a:xfrm>
            <a:custGeom>
              <a:avLst/>
              <a:gdLst>
                <a:gd name="T0" fmla="*/ 8 w 75"/>
                <a:gd name="T1" fmla="*/ 0 w 75"/>
                <a:gd name="T2" fmla="*/ 0 w 7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5">
                  <a:moveTo>
                    <a:pt x="75" y="0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4" name="Freeform 513"/>
            <xdr:cNvSpPr>
              <a:spLocks noChangeAspect="1"/>
            </xdr:cNvSpPr>
          </xdr:nvSpPr>
          <xdr:spPr bwMode="auto">
            <a:xfrm>
              <a:off x="1394" y="1495"/>
              <a:ext cx="391" cy="0"/>
            </a:xfrm>
            <a:custGeom>
              <a:avLst/>
              <a:gdLst>
                <a:gd name="T0" fmla="*/ 0 w 1095"/>
                <a:gd name="T1" fmla="*/ 140 w 1095"/>
                <a:gd name="T2" fmla="*/ 140 w 109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095">
                  <a:moveTo>
                    <a:pt x="0" y="0"/>
                  </a:moveTo>
                  <a:lnTo>
                    <a:pt x="1094" y="0"/>
                  </a:lnTo>
                  <a:lnTo>
                    <a:pt x="109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" name="Freeform 514"/>
            <xdr:cNvSpPr>
              <a:spLocks noChangeAspect="1"/>
            </xdr:cNvSpPr>
          </xdr:nvSpPr>
          <xdr:spPr bwMode="auto">
            <a:xfrm>
              <a:off x="1392" y="1487"/>
              <a:ext cx="2" cy="8"/>
            </a:xfrm>
            <a:custGeom>
              <a:avLst/>
              <a:gdLst>
                <a:gd name="T0" fmla="*/ 1 w 5"/>
                <a:gd name="T1" fmla="*/ 4 h 17"/>
                <a:gd name="T2" fmla="*/ 0 w 5"/>
                <a:gd name="T3" fmla="*/ 0 h 17"/>
                <a:gd name="T4" fmla="*/ 0 w 5"/>
                <a:gd name="T5" fmla="*/ 0 h 1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" h="17">
                  <a:moveTo>
                    <a:pt x="5" y="17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6" name="Freeform 515"/>
            <xdr:cNvSpPr>
              <a:spLocks noChangeAspect="1"/>
            </xdr:cNvSpPr>
          </xdr:nvSpPr>
          <xdr:spPr bwMode="auto">
            <a:xfrm>
              <a:off x="1392" y="1478"/>
              <a:ext cx="2" cy="17"/>
            </a:xfrm>
            <a:custGeom>
              <a:avLst/>
              <a:gdLst>
                <a:gd name="T0" fmla="*/ 0 w 5"/>
                <a:gd name="T1" fmla="*/ 0 h 44"/>
                <a:gd name="T2" fmla="*/ 0 w 5"/>
                <a:gd name="T3" fmla="*/ 7 h 44"/>
                <a:gd name="T4" fmla="*/ 1 w 5"/>
                <a:gd name="T5" fmla="*/ 7 h 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" h="44">
                  <a:moveTo>
                    <a:pt x="0" y="0"/>
                  </a:moveTo>
                  <a:lnTo>
                    <a:pt x="3" y="44"/>
                  </a:lnTo>
                  <a:lnTo>
                    <a:pt x="5" y="4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7" name="Freeform 516"/>
            <xdr:cNvSpPr>
              <a:spLocks noChangeAspect="1"/>
            </xdr:cNvSpPr>
          </xdr:nvSpPr>
          <xdr:spPr bwMode="auto">
            <a:xfrm>
              <a:off x="1783" y="1478"/>
              <a:ext cx="2" cy="17"/>
            </a:xfrm>
            <a:custGeom>
              <a:avLst/>
              <a:gdLst>
                <a:gd name="T0" fmla="*/ 2 w 2"/>
                <a:gd name="T1" fmla="*/ 0 h 44"/>
                <a:gd name="T2" fmla="*/ 0 w 2"/>
                <a:gd name="T3" fmla="*/ 7 h 44"/>
                <a:gd name="T4" fmla="*/ 1 w 2"/>
                <a:gd name="T5" fmla="*/ 7 h 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44">
                  <a:moveTo>
                    <a:pt x="2" y="0"/>
                  </a:moveTo>
                  <a:lnTo>
                    <a:pt x="0" y="44"/>
                  </a:lnTo>
                  <a:lnTo>
                    <a:pt x="1" y="4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8" name="Freeform 517"/>
            <xdr:cNvSpPr>
              <a:spLocks noChangeAspect="1"/>
            </xdr:cNvSpPr>
          </xdr:nvSpPr>
          <xdr:spPr bwMode="auto">
            <a:xfrm rot="-4882971">
              <a:off x="1563" y="1307"/>
              <a:ext cx="64" cy="369"/>
            </a:xfrm>
            <a:custGeom>
              <a:avLst/>
              <a:gdLst>
                <a:gd name="T0" fmla="*/ 1 w 178"/>
                <a:gd name="T1" fmla="*/ 0 h 899"/>
                <a:gd name="T2" fmla="*/ 0 w 178"/>
                <a:gd name="T3" fmla="*/ 0 h 899"/>
                <a:gd name="T4" fmla="*/ 23 w 178"/>
                <a:gd name="T5" fmla="*/ 151 h 899"/>
                <a:gd name="T6" fmla="*/ 1 w 178"/>
                <a:gd name="T7" fmla="*/ 0 h 89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8" h="899">
                  <a:moveTo>
                    <a:pt x="7" y="0"/>
                  </a:moveTo>
                  <a:lnTo>
                    <a:pt x="0" y="2"/>
                  </a:lnTo>
                  <a:lnTo>
                    <a:pt x="178" y="899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18"/>
            <xdr:cNvSpPr>
              <a:spLocks noChangeAspect="1"/>
            </xdr:cNvSpPr>
          </xdr:nvSpPr>
          <xdr:spPr bwMode="auto">
            <a:xfrm rot="-4882971">
              <a:off x="1564" y="1310"/>
              <a:ext cx="63" cy="366"/>
            </a:xfrm>
            <a:custGeom>
              <a:avLst/>
              <a:gdLst>
                <a:gd name="T0" fmla="*/ 0 w 178"/>
                <a:gd name="T1" fmla="*/ 0 h 898"/>
                <a:gd name="T2" fmla="*/ 22 w 178"/>
                <a:gd name="T3" fmla="*/ 149 h 898"/>
                <a:gd name="T4" fmla="*/ 22 w 178"/>
                <a:gd name="T5" fmla="*/ 149 h 898"/>
                <a:gd name="T6" fmla="*/ 0 w 178"/>
                <a:gd name="T7" fmla="*/ 0 h 89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8" h="898">
                  <a:moveTo>
                    <a:pt x="0" y="0"/>
                  </a:moveTo>
                  <a:lnTo>
                    <a:pt x="178" y="897"/>
                  </a:lnTo>
                  <a:lnTo>
                    <a:pt x="171" y="89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19"/>
            <xdr:cNvSpPr>
              <a:spLocks noChangeAspect="1"/>
            </xdr:cNvSpPr>
          </xdr:nvSpPr>
          <xdr:spPr bwMode="auto">
            <a:xfrm rot="-4882971">
              <a:off x="1551" y="1298"/>
              <a:ext cx="65" cy="388"/>
            </a:xfrm>
            <a:custGeom>
              <a:avLst/>
              <a:gdLst>
                <a:gd name="T0" fmla="*/ 1 w 178"/>
                <a:gd name="T1" fmla="*/ 0 h 900"/>
                <a:gd name="T2" fmla="*/ 0 w 178"/>
                <a:gd name="T3" fmla="*/ 0 h 900"/>
                <a:gd name="T4" fmla="*/ 23 w 178"/>
                <a:gd name="T5" fmla="*/ 167 h 900"/>
                <a:gd name="T6" fmla="*/ 24 w 178"/>
                <a:gd name="T7" fmla="*/ 167 h 900"/>
                <a:gd name="T8" fmla="*/ 1 w 178"/>
                <a:gd name="T9" fmla="*/ 0 h 90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78" h="900">
                  <a:moveTo>
                    <a:pt x="7" y="0"/>
                  </a:moveTo>
                  <a:lnTo>
                    <a:pt x="0" y="2"/>
                  </a:lnTo>
                  <a:lnTo>
                    <a:pt x="171" y="900"/>
                  </a:lnTo>
                  <a:lnTo>
                    <a:pt x="178" y="899"/>
                  </a:lnTo>
                  <a:lnTo>
                    <a:pt x="7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" name="Freeform 520"/>
            <xdr:cNvSpPr>
              <a:spLocks noChangeAspect="1"/>
            </xdr:cNvSpPr>
          </xdr:nvSpPr>
          <xdr:spPr bwMode="auto">
            <a:xfrm rot="-4882971">
              <a:off x="1528" y="1265"/>
              <a:ext cx="65" cy="363"/>
            </a:xfrm>
            <a:custGeom>
              <a:avLst/>
              <a:gdLst>
                <a:gd name="T0" fmla="*/ 23 w 186"/>
                <a:gd name="T1" fmla="*/ 149 h 887"/>
                <a:gd name="T2" fmla="*/ 14 w 186"/>
                <a:gd name="T3" fmla="*/ 74 h 887"/>
                <a:gd name="T4" fmla="*/ 0 w 186"/>
                <a:gd name="T5" fmla="*/ 0 h 887"/>
                <a:gd name="T6" fmla="*/ 0 w 186"/>
                <a:gd name="T7" fmla="*/ 0 h 88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86" h="887">
                  <a:moveTo>
                    <a:pt x="186" y="887"/>
                  </a:moveTo>
                  <a:lnTo>
                    <a:pt x="116" y="439"/>
                  </a:lnTo>
                  <a:lnTo>
                    <a:pt x="0" y="0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" name="Freeform 521"/>
            <xdr:cNvSpPr>
              <a:spLocks noChangeAspect="1"/>
            </xdr:cNvSpPr>
          </xdr:nvSpPr>
          <xdr:spPr bwMode="auto">
            <a:xfrm rot="-4882971">
              <a:off x="1770" y="1489"/>
              <a:ext cx="21" cy="6"/>
            </a:xfrm>
            <a:custGeom>
              <a:avLst/>
              <a:gdLst>
                <a:gd name="T0" fmla="*/ 0 w 54"/>
                <a:gd name="T1" fmla="*/ 4 h 10"/>
                <a:gd name="T2" fmla="*/ 8 w 54"/>
                <a:gd name="T3" fmla="*/ 0 h 10"/>
                <a:gd name="T4" fmla="*/ 8 w 54"/>
                <a:gd name="T5" fmla="*/ 0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10">
                  <a:moveTo>
                    <a:pt x="0" y="10"/>
                  </a:moveTo>
                  <a:lnTo>
                    <a:pt x="53" y="0"/>
                  </a:lnTo>
                  <a:lnTo>
                    <a:pt x="5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" name="Freeform 522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3 w 23"/>
                <a:gd name="T3" fmla="*/ 0 h 7"/>
                <a:gd name="T4" fmla="*/ 0 w 23"/>
                <a:gd name="T5" fmla="*/ 1 h 7"/>
                <a:gd name="T6" fmla="*/ 3 w 23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7">
                  <a:moveTo>
                    <a:pt x="23" y="3"/>
                  </a:moveTo>
                  <a:lnTo>
                    <a:pt x="23" y="0"/>
                  </a:lnTo>
                  <a:lnTo>
                    <a:pt x="0" y="7"/>
                  </a:lnTo>
                  <a:lnTo>
                    <a:pt x="23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4" name="Freeform 523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4"/>
                <a:gd name="T1" fmla="*/ 0 h 7"/>
                <a:gd name="T2" fmla="*/ 0 w 24"/>
                <a:gd name="T3" fmla="*/ 1 h 7"/>
                <a:gd name="T4" fmla="*/ 0 w 24"/>
                <a:gd name="T5" fmla="*/ 1 h 7"/>
                <a:gd name="T6" fmla="*/ 3 w 24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7">
                  <a:moveTo>
                    <a:pt x="24" y="0"/>
                  </a:moveTo>
                  <a:lnTo>
                    <a:pt x="1" y="7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" name="Freeform 524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4"/>
                <a:gd name="T1" fmla="*/ 0 h 7"/>
                <a:gd name="T2" fmla="*/ 3 w 24"/>
                <a:gd name="T3" fmla="*/ 0 h 7"/>
                <a:gd name="T4" fmla="*/ 0 w 24"/>
                <a:gd name="T5" fmla="*/ 1 h 7"/>
                <a:gd name="T6" fmla="*/ 0 w 24"/>
                <a:gd name="T7" fmla="*/ 1 h 7"/>
                <a:gd name="T8" fmla="*/ 3 w 24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7">
                  <a:moveTo>
                    <a:pt x="24" y="3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7"/>
                  </a:lnTo>
                  <a:lnTo>
                    <a:pt x="24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" name="Freeform 525"/>
            <xdr:cNvSpPr>
              <a:spLocks noChangeAspect="1"/>
            </xdr:cNvSpPr>
          </xdr:nvSpPr>
          <xdr:spPr bwMode="auto">
            <a:xfrm rot="-4882971">
              <a:off x="1589" y="1475"/>
              <a:ext cx="14" cy="78"/>
            </a:xfrm>
            <a:custGeom>
              <a:avLst/>
              <a:gdLst>
                <a:gd name="T0" fmla="*/ 0 w 37"/>
                <a:gd name="T1" fmla="*/ 0 h 193"/>
                <a:gd name="T2" fmla="*/ 5 w 37"/>
                <a:gd name="T3" fmla="*/ 32 h 193"/>
                <a:gd name="T4" fmla="*/ 5 w 37"/>
                <a:gd name="T5" fmla="*/ 32 h 193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7" h="193">
                  <a:moveTo>
                    <a:pt x="0" y="0"/>
                  </a:moveTo>
                  <a:lnTo>
                    <a:pt x="36" y="193"/>
                  </a:lnTo>
                  <a:lnTo>
                    <a:pt x="37" y="19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" name="Freeform 526"/>
            <xdr:cNvSpPr>
              <a:spLocks noChangeAspect="1"/>
            </xdr:cNvSpPr>
          </xdr:nvSpPr>
          <xdr:spPr bwMode="auto">
            <a:xfrm rot="-4882971">
              <a:off x="1590" y="1489"/>
              <a:ext cx="13" cy="78"/>
            </a:xfrm>
            <a:custGeom>
              <a:avLst/>
              <a:gdLst>
                <a:gd name="T0" fmla="*/ 0 w 38"/>
                <a:gd name="T1" fmla="*/ 0 h 192"/>
                <a:gd name="T2" fmla="*/ 4 w 38"/>
                <a:gd name="T3" fmla="*/ 32 h 192"/>
                <a:gd name="T4" fmla="*/ 4 w 38"/>
                <a:gd name="T5" fmla="*/ 32 h 19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8" h="192">
                  <a:moveTo>
                    <a:pt x="0" y="0"/>
                  </a:moveTo>
                  <a:lnTo>
                    <a:pt x="37" y="192"/>
                  </a:lnTo>
                  <a:lnTo>
                    <a:pt x="38" y="19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" name="Freeform 527"/>
            <xdr:cNvSpPr>
              <a:spLocks noChangeAspect="1"/>
            </xdr:cNvSpPr>
          </xdr:nvSpPr>
          <xdr:spPr bwMode="auto">
            <a:xfrm rot="-4882971">
              <a:off x="1558" y="1315"/>
              <a:ext cx="61" cy="380"/>
            </a:xfrm>
            <a:custGeom>
              <a:avLst/>
              <a:gdLst>
                <a:gd name="T0" fmla="*/ 0 w 172"/>
                <a:gd name="T1" fmla="*/ 0 h 899"/>
                <a:gd name="T2" fmla="*/ 22 w 172"/>
                <a:gd name="T3" fmla="*/ 161 h 899"/>
                <a:gd name="T4" fmla="*/ 22 w 172"/>
                <a:gd name="T5" fmla="*/ 161 h 89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72" h="899">
                  <a:moveTo>
                    <a:pt x="0" y="0"/>
                  </a:moveTo>
                  <a:lnTo>
                    <a:pt x="171" y="899"/>
                  </a:lnTo>
                  <a:lnTo>
                    <a:pt x="172" y="899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528"/>
            <xdr:cNvSpPr>
              <a:spLocks noChangeAspect="1"/>
            </xdr:cNvSpPr>
          </xdr:nvSpPr>
          <xdr:spPr bwMode="auto">
            <a:xfrm rot="-4882971">
              <a:off x="1631" y="1521"/>
              <a:ext cx="5" cy="3"/>
            </a:xfrm>
            <a:custGeom>
              <a:avLst/>
              <a:gdLst>
                <a:gd name="T0" fmla="*/ 1 w 23"/>
                <a:gd name="T1" fmla="*/ 1 h 8"/>
                <a:gd name="T2" fmla="*/ 1 w 23"/>
                <a:gd name="T3" fmla="*/ 0 h 8"/>
                <a:gd name="T4" fmla="*/ 0 w 23"/>
                <a:gd name="T5" fmla="*/ 1 h 8"/>
                <a:gd name="T6" fmla="*/ 1 w 23"/>
                <a:gd name="T7" fmla="*/ 1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8">
                  <a:moveTo>
                    <a:pt x="23" y="4"/>
                  </a:moveTo>
                  <a:lnTo>
                    <a:pt x="23" y="0"/>
                  </a:lnTo>
                  <a:lnTo>
                    <a:pt x="0" y="8"/>
                  </a:lnTo>
                  <a:lnTo>
                    <a:pt x="23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0" name="Freeform 529"/>
            <xdr:cNvSpPr>
              <a:spLocks noChangeAspect="1"/>
            </xdr:cNvSpPr>
          </xdr:nvSpPr>
          <xdr:spPr bwMode="auto">
            <a:xfrm rot="-4882971">
              <a:off x="1630" y="1521"/>
              <a:ext cx="8" cy="3"/>
            </a:xfrm>
            <a:custGeom>
              <a:avLst/>
              <a:gdLst>
                <a:gd name="T0" fmla="*/ 3 w 24"/>
                <a:gd name="T1" fmla="*/ 0 h 8"/>
                <a:gd name="T2" fmla="*/ 0 w 24"/>
                <a:gd name="T3" fmla="*/ 1 h 8"/>
                <a:gd name="T4" fmla="*/ 0 w 24"/>
                <a:gd name="T5" fmla="*/ 1 h 8"/>
                <a:gd name="T6" fmla="*/ 3 w 24"/>
                <a:gd name="T7" fmla="*/ 0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0"/>
                  </a:moveTo>
                  <a:lnTo>
                    <a:pt x="1" y="8"/>
                  </a:lnTo>
                  <a:lnTo>
                    <a:pt x="0" y="5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" name="Freeform 530"/>
            <xdr:cNvSpPr>
              <a:spLocks noChangeAspect="1"/>
            </xdr:cNvSpPr>
          </xdr:nvSpPr>
          <xdr:spPr bwMode="auto">
            <a:xfrm rot="-4882971">
              <a:off x="1630" y="1521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0 w 24"/>
                <a:gd name="T7" fmla="*/ 1 h 8"/>
                <a:gd name="T8" fmla="*/ 3 w 24"/>
                <a:gd name="T9" fmla="*/ 1 h 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5"/>
                  </a:lnTo>
                  <a:lnTo>
                    <a:pt x="1" y="8"/>
                  </a:lnTo>
                  <a:lnTo>
                    <a:pt x="24" y="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" name="Freeform 531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2"/>
                <a:gd name="T1" fmla="*/ 0 h 7"/>
                <a:gd name="T2" fmla="*/ 3 w 22"/>
                <a:gd name="T3" fmla="*/ 0 h 7"/>
                <a:gd name="T4" fmla="*/ 0 w 22"/>
                <a:gd name="T5" fmla="*/ 1 h 7"/>
                <a:gd name="T6" fmla="*/ 3 w 2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7">
                  <a:moveTo>
                    <a:pt x="22" y="3"/>
                  </a:moveTo>
                  <a:lnTo>
                    <a:pt x="22" y="0"/>
                  </a:lnTo>
                  <a:lnTo>
                    <a:pt x="0" y="7"/>
                  </a:lnTo>
                  <a:lnTo>
                    <a:pt x="2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3" name="Freeform 532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0 w 23"/>
                <a:gd name="T3" fmla="*/ 1 h 7"/>
                <a:gd name="T4" fmla="*/ 0 w 23"/>
                <a:gd name="T5" fmla="*/ 1 h 7"/>
                <a:gd name="T6" fmla="*/ 3 w 23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7">
                  <a:moveTo>
                    <a:pt x="23" y="0"/>
                  </a:moveTo>
                  <a:lnTo>
                    <a:pt x="1" y="7"/>
                  </a:lnTo>
                  <a:lnTo>
                    <a:pt x="0" y="4"/>
                  </a:lnTo>
                  <a:lnTo>
                    <a:pt x="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" name="Freeform 533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3 w 23"/>
                <a:gd name="T3" fmla="*/ 0 h 7"/>
                <a:gd name="T4" fmla="*/ 0 w 23"/>
                <a:gd name="T5" fmla="*/ 1 h 7"/>
                <a:gd name="T6" fmla="*/ 0 w 23"/>
                <a:gd name="T7" fmla="*/ 1 h 7"/>
                <a:gd name="T8" fmla="*/ 3 w 23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3" h="7">
                  <a:moveTo>
                    <a:pt x="23" y="3"/>
                  </a:moveTo>
                  <a:lnTo>
                    <a:pt x="23" y="0"/>
                  </a:lnTo>
                  <a:lnTo>
                    <a:pt x="0" y="4"/>
                  </a:lnTo>
                  <a:lnTo>
                    <a:pt x="1" y="7"/>
                  </a:lnTo>
                  <a:lnTo>
                    <a:pt x="23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" name="Freeform 534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2"/>
                <a:gd name="T1" fmla="*/ 1 h 6"/>
                <a:gd name="T2" fmla="*/ 3 w 22"/>
                <a:gd name="T3" fmla="*/ 0 h 6"/>
                <a:gd name="T4" fmla="*/ 0 w 22"/>
                <a:gd name="T5" fmla="*/ 2 h 6"/>
                <a:gd name="T6" fmla="*/ 3 w 22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6">
                  <a:moveTo>
                    <a:pt x="22" y="2"/>
                  </a:moveTo>
                  <a:lnTo>
                    <a:pt x="22" y="0"/>
                  </a:lnTo>
                  <a:lnTo>
                    <a:pt x="0" y="6"/>
                  </a:lnTo>
                  <a:lnTo>
                    <a:pt x="2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" name="Freeform 535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2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" name="Freeform 536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2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" name="Freeform 537"/>
            <xdr:cNvSpPr>
              <a:spLocks noChangeAspect="1"/>
            </xdr:cNvSpPr>
          </xdr:nvSpPr>
          <xdr:spPr bwMode="auto">
            <a:xfrm rot="-4882971">
              <a:off x="1630" y="1518"/>
              <a:ext cx="14" cy="3"/>
            </a:xfrm>
            <a:custGeom>
              <a:avLst/>
              <a:gdLst>
                <a:gd name="T0" fmla="*/ 6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" name="Freeform 538"/>
            <xdr:cNvSpPr>
              <a:spLocks noChangeAspect="1"/>
            </xdr:cNvSpPr>
          </xdr:nvSpPr>
          <xdr:spPr bwMode="auto">
            <a:xfrm rot="-4882971">
              <a:off x="1618" y="1507"/>
              <a:ext cx="12" cy="3"/>
            </a:xfrm>
            <a:custGeom>
              <a:avLst/>
              <a:gdLst>
                <a:gd name="T0" fmla="*/ 4 w 33"/>
                <a:gd name="T1" fmla="*/ 0 h 7"/>
                <a:gd name="T2" fmla="*/ 0 w 33"/>
                <a:gd name="T3" fmla="*/ 1 h 7"/>
                <a:gd name="T4" fmla="*/ 0 w 33"/>
                <a:gd name="T5" fmla="*/ 1 h 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3" h="7">
                  <a:moveTo>
                    <a:pt x="33" y="0"/>
                  </a:moveTo>
                  <a:lnTo>
                    <a:pt x="0" y="7"/>
                  </a:lnTo>
                  <a:lnTo>
                    <a:pt x="1" y="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" name="Freeform 539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4 w 23"/>
                <a:gd name="T1" fmla="*/ 1 h 6"/>
                <a:gd name="T2" fmla="*/ 4 w 23"/>
                <a:gd name="T3" fmla="*/ 0 h 6"/>
                <a:gd name="T4" fmla="*/ 0 w 23"/>
                <a:gd name="T5" fmla="*/ 2 h 6"/>
                <a:gd name="T6" fmla="*/ 4 w 23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6"/>
                  </a:lnTo>
                  <a:lnTo>
                    <a:pt x="2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1" name="Freeform 540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" name="Freeform 541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3" name="Freeform 542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2"/>
                <a:gd name="T1" fmla="*/ 1 h 6"/>
                <a:gd name="T2" fmla="*/ 3 w 22"/>
                <a:gd name="T3" fmla="*/ 0 h 6"/>
                <a:gd name="T4" fmla="*/ 0 w 22"/>
                <a:gd name="T5" fmla="*/ 2 h 6"/>
                <a:gd name="T6" fmla="*/ 3 w 22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6">
                  <a:moveTo>
                    <a:pt x="22" y="2"/>
                  </a:moveTo>
                  <a:lnTo>
                    <a:pt x="22" y="0"/>
                  </a:lnTo>
                  <a:lnTo>
                    <a:pt x="0" y="6"/>
                  </a:lnTo>
                  <a:lnTo>
                    <a:pt x="2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" name="Freeform 543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3"/>
                <a:gd name="T1" fmla="*/ 0 h 6"/>
                <a:gd name="T2" fmla="*/ 0 w 23"/>
                <a:gd name="T3" fmla="*/ 2 h 6"/>
                <a:gd name="T4" fmla="*/ 0 w 23"/>
                <a:gd name="T5" fmla="*/ 1 h 6"/>
                <a:gd name="T6" fmla="*/ 3 w 23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5" name="Freeform 544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3"/>
                <a:gd name="T1" fmla="*/ 1 h 6"/>
                <a:gd name="T2" fmla="*/ 3 w 23"/>
                <a:gd name="T3" fmla="*/ 0 h 6"/>
                <a:gd name="T4" fmla="*/ 0 w 23"/>
                <a:gd name="T5" fmla="*/ 1 h 6"/>
                <a:gd name="T6" fmla="*/ 0 w 23"/>
                <a:gd name="T7" fmla="*/ 2 h 6"/>
                <a:gd name="T8" fmla="*/ 3 w 23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3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" name="Freeform 545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3 w 24"/>
                <a:gd name="T7" fmla="*/ 1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8"/>
                  </a:lnTo>
                  <a:lnTo>
                    <a:pt x="24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" name="Freeform 546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0 h 8"/>
                <a:gd name="T2" fmla="*/ 0 w 24"/>
                <a:gd name="T3" fmla="*/ 1 h 8"/>
                <a:gd name="T4" fmla="*/ 0 w 24"/>
                <a:gd name="T5" fmla="*/ 1 h 8"/>
                <a:gd name="T6" fmla="*/ 3 w 24"/>
                <a:gd name="T7" fmla="*/ 0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0"/>
                  </a:moveTo>
                  <a:lnTo>
                    <a:pt x="0" y="8"/>
                  </a:lnTo>
                  <a:lnTo>
                    <a:pt x="0" y="5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8" name="Freeform 547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0 w 24"/>
                <a:gd name="T7" fmla="*/ 1 h 8"/>
                <a:gd name="T8" fmla="*/ 3 w 24"/>
                <a:gd name="T9" fmla="*/ 1 h 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5"/>
                  </a:lnTo>
                  <a:lnTo>
                    <a:pt x="0" y="8"/>
                  </a:lnTo>
                  <a:lnTo>
                    <a:pt x="24" y="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9" name="Freeform 548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4 w 23"/>
                <a:gd name="T1" fmla="*/ 1 h 6"/>
                <a:gd name="T2" fmla="*/ 4 w 23"/>
                <a:gd name="T3" fmla="*/ 0 h 6"/>
                <a:gd name="T4" fmla="*/ 0 w 23"/>
                <a:gd name="T5" fmla="*/ 2 h 6"/>
                <a:gd name="T6" fmla="*/ 4 w 23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6"/>
                  </a:lnTo>
                  <a:lnTo>
                    <a:pt x="2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" name="Freeform 549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" name="Freeform 550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" name="Freeform 551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4 w 22"/>
                <a:gd name="T1" fmla="*/ 0 h 7"/>
                <a:gd name="T2" fmla="*/ 4 w 22"/>
                <a:gd name="T3" fmla="*/ 0 h 7"/>
                <a:gd name="T4" fmla="*/ 0 w 22"/>
                <a:gd name="T5" fmla="*/ 1 h 7"/>
                <a:gd name="T6" fmla="*/ 4 w 2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7">
                  <a:moveTo>
                    <a:pt x="22" y="3"/>
                  </a:moveTo>
                  <a:lnTo>
                    <a:pt x="22" y="0"/>
                  </a:lnTo>
                  <a:lnTo>
                    <a:pt x="0" y="7"/>
                  </a:lnTo>
                  <a:lnTo>
                    <a:pt x="2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" name="Freeform 552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3 w 24"/>
                <a:gd name="T1" fmla="*/ 0 h 7"/>
                <a:gd name="T2" fmla="*/ 0 w 24"/>
                <a:gd name="T3" fmla="*/ 1 h 7"/>
                <a:gd name="T4" fmla="*/ 0 w 24"/>
                <a:gd name="T5" fmla="*/ 1 h 7"/>
                <a:gd name="T6" fmla="*/ 3 w 24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7">
                  <a:moveTo>
                    <a:pt x="24" y="0"/>
                  </a:moveTo>
                  <a:lnTo>
                    <a:pt x="2" y="7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" name="Freeform 553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3 w 24"/>
                <a:gd name="T1" fmla="*/ 0 h 7"/>
                <a:gd name="T2" fmla="*/ 3 w 24"/>
                <a:gd name="T3" fmla="*/ 0 h 7"/>
                <a:gd name="T4" fmla="*/ 0 w 24"/>
                <a:gd name="T5" fmla="*/ 1 h 7"/>
                <a:gd name="T6" fmla="*/ 0 w 24"/>
                <a:gd name="T7" fmla="*/ 1 h 7"/>
                <a:gd name="T8" fmla="*/ 3 w 24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7">
                  <a:moveTo>
                    <a:pt x="24" y="3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2" y="7"/>
                  </a:lnTo>
                  <a:lnTo>
                    <a:pt x="24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5" name="Freeform 554"/>
            <xdr:cNvSpPr>
              <a:spLocks noChangeAspect="1"/>
            </xdr:cNvSpPr>
          </xdr:nvSpPr>
          <xdr:spPr bwMode="auto">
            <a:xfrm rot="-4882971">
              <a:off x="1553" y="1520"/>
              <a:ext cx="12" cy="3"/>
            </a:xfrm>
            <a:custGeom>
              <a:avLst/>
              <a:gdLst>
                <a:gd name="T0" fmla="*/ 4 w 36"/>
                <a:gd name="T1" fmla="*/ 0 h 7"/>
                <a:gd name="T2" fmla="*/ 0 w 36"/>
                <a:gd name="T3" fmla="*/ 1 h 7"/>
                <a:gd name="T4" fmla="*/ 0 w 36"/>
                <a:gd name="T5" fmla="*/ 1 h 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6" h="7">
                  <a:moveTo>
                    <a:pt x="36" y="0"/>
                  </a:moveTo>
                  <a:lnTo>
                    <a:pt x="0" y="7"/>
                  </a:lnTo>
                  <a:lnTo>
                    <a:pt x="1" y="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6" name="Freeform 555"/>
            <xdr:cNvSpPr>
              <a:spLocks noChangeAspect="1"/>
            </xdr:cNvSpPr>
          </xdr:nvSpPr>
          <xdr:spPr bwMode="auto">
            <a:xfrm rot="-4882971">
              <a:off x="1563" y="1507"/>
              <a:ext cx="12" cy="3"/>
            </a:xfrm>
            <a:custGeom>
              <a:avLst/>
              <a:gdLst>
                <a:gd name="T0" fmla="*/ 4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7" name="Freeform 556"/>
            <xdr:cNvSpPr>
              <a:spLocks noChangeAspect="1"/>
            </xdr:cNvSpPr>
          </xdr:nvSpPr>
          <xdr:spPr bwMode="auto">
            <a:xfrm rot="-4882971">
              <a:off x="1563" y="1507"/>
              <a:ext cx="12" cy="3"/>
            </a:xfrm>
            <a:custGeom>
              <a:avLst/>
              <a:gdLst>
                <a:gd name="T0" fmla="*/ 4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8" name="Freeform 557"/>
            <xdr:cNvSpPr>
              <a:spLocks noChangeAspect="1"/>
            </xdr:cNvSpPr>
          </xdr:nvSpPr>
          <xdr:spPr bwMode="auto">
            <a:xfrm rot="-4882971">
              <a:off x="1384" y="1495"/>
              <a:ext cx="21" cy="3"/>
            </a:xfrm>
            <a:custGeom>
              <a:avLst/>
              <a:gdLst>
                <a:gd name="T0" fmla="*/ 8 w 53"/>
                <a:gd name="T1" fmla="*/ 0 h 10"/>
                <a:gd name="T2" fmla="*/ 0 w 53"/>
                <a:gd name="T3" fmla="*/ 1 h 10"/>
                <a:gd name="T4" fmla="*/ 0 w 53"/>
                <a:gd name="T5" fmla="*/ 1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3" h="10">
                  <a:moveTo>
                    <a:pt x="53" y="0"/>
                  </a:moveTo>
                  <a:lnTo>
                    <a:pt x="0" y="10"/>
                  </a:lnTo>
                  <a:lnTo>
                    <a:pt x="1" y="1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9" name="Freeform 558"/>
            <xdr:cNvSpPr>
              <a:spLocks noChangeAspect="1"/>
            </xdr:cNvSpPr>
          </xdr:nvSpPr>
          <xdr:spPr bwMode="auto">
            <a:xfrm rot="-4882971">
              <a:off x="1353" y="1453"/>
              <a:ext cx="26" cy="18"/>
            </a:xfrm>
            <a:custGeom>
              <a:avLst/>
              <a:gdLst>
                <a:gd name="T0" fmla="*/ 9 w 74"/>
                <a:gd name="T1" fmla="*/ 7 h 45"/>
                <a:gd name="T2" fmla="*/ 7 w 74"/>
                <a:gd name="T3" fmla="*/ 3 h 45"/>
                <a:gd name="T4" fmla="*/ 4 w 74"/>
                <a:gd name="T5" fmla="*/ 0 h 45"/>
                <a:gd name="T6" fmla="*/ 0 w 74"/>
                <a:gd name="T7" fmla="*/ 0 h 45"/>
                <a:gd name="T8" fmla="*/ 0 w 74"/>
                <a:gd name="T9" fmla="*/ 0 h 4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74" h="45">
                  <a:moveTo>
                    <a:pt x="74" y="45"/>
                  </a:moveTo>
                  <a:lnTo>
                    <a:pt x="58" y="19"/>
                  </a:lnTo>
                  <a:lnTo>
                    <a:pt x="31" y="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0" name="Freeform 559"/>
            <xdr:cNvSpPr>
              <a:spLocks noChangeAspect="1"/>
            </xdr:cNvSpPr>
          </xdr:nvSpPr>
          <xdr:spPr bwMode="auto">
            <a:xfrm rot="-4882971">
              <a:off x="1831" y="1461"/>
              <a:ext cx="3" cy="24"/>
            </a:xfrm>
            <a:custGeom>
              <a:avLst/>
              <a:gdLst>
                <a:gd name="T0" fmla="*/ 0 w 10"/>
                <a:gd name="T1" fmla="*/ 10 h 56"/>
                <a:gd name="T2" fmla="*/ 1 w 10"/>
                <a:gd name="T3" fmla="*/ 0 h 56"/>
                <a:gd name="T4" fmla="*/ 1 w 10"/>
                <a:gd name="T5" fmla="*/ 0 h 5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0" h="56">
                  <a:moveTo>
                    <a:pt x="0" y="56"/>
                  </a:moveTo>
                  <a:lnTo>
                    <a:pt x="9" y="0"/>
                  </a:lnTo>
                  <a:lnTo>
                    <a:pt x="1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1" name="Freeform 560"/>
            <xdr:cNvSpPr>
              <a:spLocks noChangeAspect="1"/>
            </xdr:cNvSpPr>
          </xdr:nvSpPr>
          <xdr:spPr bwMode="auto">
            <a:xfrm rot="-4882971">
              <a:off x="1843" y="1449"/>
              <a:ext cx="32" cy="26"/>
            </a:xfrm>
            <a:custGeom>
              <a:avLst/>
              <a:gdLst>
                <a:gd name="T0" fmla="*/ 0 w 89"/>
                <a:gd name="T1" fmla="*/ 0 h 60"/>
                <a:gd name="T2" fmla="*/ 0 w 89"/>
                <a:gd name="T3" fmla="*/ 6 h 60"/>
                <a:gd name="T4" fmla="*/ 3 w 89"/>
                <a:gd name="T5" fmla="*/ 10 h 60"/>
                <a:gd name="T6" fmla="*/ 7 w 89"/>
                <a:gd name="T7" fmla="*/ 11 h 60"/>
                <a:gd name="T8" fmla="*/ 10 w 89"/>
                <a:gd name="T9" fmla="*/ 8 h 60"/>
                <a:gd name="T10" fmla="*/ 12 w 89"/>
                <a:gd name="T11" fmla="*/ 2 h 60"/>
                <a:gd name="T12" fmla="*/ 12 w 89"/>
                <a:gd name="T13" fmla="*/ 2 h 60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89" h="60">
                  <a:moveTo>
                    <a:pt x="1" y="0"/>
                  </a:moveTo>
                  <a:lnTo>
                    <a:pt x="0" y="31"/>
                  </a:lnTo>
                  <a:lnTo>
                    <a:pt x="21" y="56"/>
                  </a:lnTo>
                  <a:lnTo>
                    <a:pt x="52" y="60"/>
                  </a:lnTo>
                  <a:lnTo>
                    <a:pt x="79" y="42"/>
                  </a:lnTo>
                  <a:lnTo>
                    <a:pt x="88" y="12"/>
                  </a:lnTo>
                  <a:lnTo>
                    <a:pt x="89" y="1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2" name="Freeform 561"/>
            <xdr:cNvSpPr>
              <a:spLocks noChangeAspect="1"/>
            </xdr:cNvSpPr>
          </xdr:nvSpPr>
          <xdr:spPr bwMode="auto">
            <a:xfrm rot="-4882971">
              <a:off x="1549" y="1244"/>
              <a:ext cx="77" cy="460"/>
            </a:xfrm>
            <a:custGeom>
              <a:avLst/>
              <a:gdLst>
                <a:gd name="T0" fmla="*/ 27 w 219"/>
                <a:gd name="T1" fmla="*/ 188 h 1128"/>
                <a:gd name="T2" fmla="*/ 22 w 219"/>
                <a:gd name="T3" fmla="*/ 124 h 1128"/>
                <a:gd name="T4" fmla="*/ 13 w 219"/>
                <a:gd name="T5" fmla="*/ 62 h 1128"/>
                <a:gd name="T6" fmla="*/ 0 w 219"/>
                <a:gd name="T7" fmla="*/ 0 h 1128"/>
                <a:gd name="T8" fmla="*/ 0 w 219"/>
                <a:gd name="T9" fmla="*/ 0 h 112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19" h="1128">
                  <a:moveTo>
                    <a:pt x="219" y="1128"/>
                  </a:moveTo>
                  <a:lnTo>
                    <a:pt x="179" y="746"/>
                  </a:lnTo>
                  <a:lnTo>
                    <a:pt x="106" y="370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3" name="Freeform 562"/>
            <xdr:cNvSpPr>
              <a:spLocks noChangeAspect="1"/>
            </xdr:cNvSpPr>
          </xdr:nvSpPr>
          <xdr:spPr bwMode="auto">
            <a:xfrm rot="-4882971">
              <a:off x="1794" y="1389"/>
              <a:ext cx="11" cy="109"/>
            </a:xfrm>
            <a:custGeom>
              <a:avLst/>
              <a:gdLst>
                <a:gd name="T0" fmla="*/ 4 w 28"/>
                <a:gd name="T1" fmla="*/ 45 h 266"/>
                <a:gd name="T2" fmla="*/ 0 w 28"/>
                <a:gd name="T3" fmla="*/ 0 h 266"/>
                <a:gd name="T4" fmla="*/ 0 w 28"/>
                <a:gd name="T5" fmla="*/ 0 h 26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8" h="266">
                  <a:moveTo>
                    <a:pt x="28" y="266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4" name="Freeform 563"/>
            <xdr:cNvSpPr>
              <a:spLocks noChangeAspect="1"/>
            </xdr:cNvSpPr>
          </xdr:nvSpPr>
          <xdr:spPr bwMode="auto">
            <a:xfrm>
              <a:off x="1783" y="1478"/>
              <a:ext cx="116" cy="0"/>
            </a:xfrm>
            <a:custGeom>
              <a:avLst/>
              <a:gdLst>
                <a:gd name="T0" fmla="*/ 0 w 332"/>
                <a:gd name="T1" fmla="*/ 41 w 332"/>
                <a:gd name="T2" fmla="*/ 41 w 33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332">
                  <a:moveTo>
                    <a:pt x="0" y="0"/>
                  </a:moveTo>
                  <a:lnTo>
                    <a:pt x="331" y="0"/>
                  </a:lnTo>
                  <a:lnTo>
                    <a:pt x="33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5" name="Freeform 564"/>
            <xdr:cNvSpPr>
              <a:spLocks noChangeAspect="1"/>
            </xdr:cNvSpPr>
          </xdr:nvSpPr>
          <xdr:spPr bwMode="auto">
            <a:xfrm>
              <a:off x="1899" y="1478"/>
              <a:ext cx="32" cy="34"/>
            </a:xfrm>
            <a:custGeom>
              <a:avLst/>
              <a:gdLst>
                <a:gd name="T0" fmla="*/ 12 w 84"/>
                <a:gd name="T1" fmla="*/ 13 h 87"/>
                <a:gd name="T2" fmla="*/ 11 w 84"/>
                <a:gd name="T3" fmla="*/ 7 h 87"/>
                <a:gd name="T4" fmla="*/ 6 w 84"/>
                <a:gd name="T5" fmla="*/ 2 h 87"/>
                <a:gd name="T6" fmla="*/ 0 w 84"/>
                <a:gd name="T7" fmla="*/ 0 h 87"/>
                <a:gd name="T8" fmla="*/ 0 w 84"/>
                <a:gd name="T9" fmla="*/ 0 h 8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87">
                  <a:moveTo>
                    <a:pt x="84" y="87"/>
                  </a:moveTo>
                  <a:lnTo>
                    <a:pt x="75" y="44"/>
                  </a:lnTo>
                  <a:lnTo>
                    <a:pt x="43" y="11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6" name="Freeform 565"/>
            <xdr:cNvSpPr>
              <a:spLocks noChangeAspect="1"/>
            </xdr:cNvSpPr>
          </xdr:nvSpPr>
          <xdr:spPr bwMode="auto">
            <a:xfrm>
              <a:off x="1314" y="1478"/>
              <a:ext cx="32" cy="34"/>
            </a:xfrm>
            <a:custGeom>
              <a:avLst/>
              <a:gdLst>
                <a:gd name="T0" fmla="*/ 12 w 84"/>
                <a:gd name="T1" fmla="*/ 0 h 87"/>
                <a:gd name="T2" fmla="*/ 6 w 84"/>
                <a:gd name="T3" fmla="*/ 2 h 87"/>
                <a:gd name="T4" fmla="*/ 1 w 84"/>
                <a:gd name="T5" fmla="*/ 7 h 87"/>
                <a:gd name="T6" fmla="*/ 0 w 84"/>
                <a:gd name="T7" fmla="*/ 13 h 87"/>
                <a:gd name="T8" fmla="*/ 0 w 84"/>
                <a:gd name="T9" fmla="*/ 13 h 8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87">
                  <a:moveTo>
                    <a:pt x="84" y="0"/>
                  </a:moveTo>
                  <a:lnTo>
                    <a:pt x="41" y="11"/>
                  </a:lnTo>
                  <a:lnTo>
                    <a:pt x="9" y="44"/>
                  </a:lnTo>
                  <a:lnTo>
                    <a:pt x="0" y="87"/>
                  </a:lnTo>
                  <a:lnTo>
                    <a:pt x="1" y="8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7" name="Freeform 566"/>
            <xdr:cNvSpPr>
              <a:spLocks noChangeAspect="1"/>
            </xdr:cNvSpPr>
          </xdr:nvSpPr>
          <xdr:spPr bwMode="auto">
            <a:xfrm>
              <a:off x="1346" y="1478"/>
              <a:ext cx="48" cy="0"/>
            </a:xfrm>
            <a:custGeom>
              <a:avLst/>
              <a:gdLst>
                <a:gd name="T0" fmla="*/ 0 w 134"/>
                <a:gd name="T1" fmla="*/ 17 w 134"/>
                <a:gd name="T2" fmla="*/ 17 w 13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34">
                  <a:moveTo>
                    <a:pt x="0" y="0"/>
                  </a:moveTo>
                  <a:lnTo>
                    <a:pt x="133" y="0"/>
                  </a:lnTo>
                  <a:lnTo>
                    <a:pt x="13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8" name="Freeform 567"/>
            <xdr:cNvSpPr>
              <a:spLocks noChangeAspect="1"/>
            </xdr:cNvSpPr>
          </xdr:nvSpPr>
          <xdr:spPr bwMode="auto">
            <a:xfrm>
              <a:off x="1914" y="1627"/>
              <a:ext cx="849" cy="0"/>
            </a:xfrm>
            <a:custGeom>
              <a:avLst/>
              <a:gdLst>
                <a:gd name="T0" fmla="*/ 0 w 1830"/>
                <a:gd name="T1" fmla="*/ 394 w 1830"/>
                <a:gd name="T2" fmla="*/ 394 w 183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830">
                  <a:moveTo>
                    <a:pt x="0" y="0"/>
                  </a:moveTo>
                  <a:lnTo>
                    <a:pt x="1829" y="0"/>
                  </a:lnTo>
                  <a:lnTo>
                    <a:pt x="183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9" name="Freeform 568"/>
            <xdr:cNvSpPr>
              <a:spLocks noChangeAspect="1"/>
            </xdr:cNvSpPr>
          </xdr:nvSpPr>
          <xdr:spPr bwMode="auto">
            <a:xfrm>
              <a:off x="3480" y="1627"/>
              <a:ext cx="100" cy="106"/>
            </a:xfrm>
            <a:custGeom>
              <a:avLst/>
              <a:gdLst>
                <a:gd name="T0" fmla="*/ 35 w 282"/>
                <a:gd name="T1" fmla="*/ 44 h 255"/>
                <a:gd name="T2" fmla="*/ 33 w 282"/>
                <a:gd name="T3" fmla="*/ 30 h 255"/>
                <a:gd name="T4" fmla="*/ 28 w 282"/>
                <a:gd name="T5" fmla="*/ 18 h 255"/>
                <a:gd name="T6" fmla="*/ 20 w 282"/>
                <a:gd name="T7" fmla="*/ 8 h 255"/>
                <a:gd name="T8" fmla="*/ 10 w 282"/>
                <a:gd name="T9" fmla="*/ 2 h 255"/>
                <a:gd name="T10" fmla="*/ 0 w 282"/>
                <a:gd name="T11" fmla="*/ 0 h 255"/>
                <a:gd name="T12" fmla="*/ 0 w 282"/>
                <a:gd name="T13" fmla="*/ 0 h 25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2" h="255">
                  <a:moveTo>
                    <a:pt x="282" y="255"/>
                  </a:moveTo>
                  <a:lnTo>
                    <a:pt x="263" y="175"/>
                  </a:lnTo>
                  <a:lnTo>
                    <a:pt x="220" y="103"/>
                  </a:lnTo>
                  <a:lnTo>
                    <a:pt x="158" y="48"/>
                  </a:lnTo>
                  <a:lnTo>
                    <a:pt x="82" y="1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" name="Freeform 569"/>
            <xdr:cNvSpPr>
              <a:spLocks noChangeAspect="1"/>
            </xdr:cNvSpPr>
          </xdr:nvSpPr>
          <xdr:spPr bwMode="auto">
            <a:xfrm>
              <a:off x="3609" y="1987"/>
              <a:ext cx="5" cy="74"/>
            </a:xfrm>
            <a:custGeom>
              <a:avLst/>
              <a:gdLst>
                <a:gd name="T0" fmla="*/ 2 w 16"/>
                <a:gd name="T1" fmla="*/ 30 h 183"/>
                <a:gd name="T2" fmla="*/ 0 w 16"/>
                <a:gd name="T3" fmla="*/ 0 h 183"/>
                <a:gd name="T4" fmla="*/ 0 w 16"/>
                <a:gd name="T5" fmla="*/ 0 h 183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6" h="183">
                  <a:moveTo>
                    <a:pt x="16" y="183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" name="Freeform 570"/>
            <xdr:cNvSpPr>
              <a:spLocks noChangeAspect="1"/>
            </xdr:cNvSpPr>
          </xdr:nvSpPr>
          <xdr:spPr bwMode="auto">
            <a:xfrm>
              <a:off x="3603" y="1981"/>
              <a:ext cx="6" cy="6"/>
            </a:xfrm>
            <a:custGeom>
              <a:avLst/>
              <a:gdLst>
                <a:gd name="T0" fmla="*/ 3 w 11"/>
                <a:gd name="T1" fmla="*/ 3 h 13"/>
                <a:gd name="T2" fmla="*/ 2 w 11"/>
                <a:gd name="T3" fmla="*/ 1 h 13"/>
                <a:gd name="T4" fmla="*/ 0 w 11"/>
                <a:gd name="T5" fmla="*/ 0 h 13"/>
                <a:gd name="T6" fmla="*/ 1 w 11"/>
                <a:gd name="T7" fmla="*/ 0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13">
                  <a:moveTo>
                    <a:pt x="11" y="13"/>
                  </a:moveTo>
                  <a:lnTo>
                    <a:pt x="8" y="5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" name="Freeform 571"/>
            <xdr:cNvSpPr>
              <a:spLocks noChangeAspect="1"/>
            </xdr:cNvSpPr>
          </xdr:nvSpPr>
          <xdr:spPr bwMode="auto">
            <a:xfrm>
              <a:off x="3600" y="1977"/>
              <a:ext cx="3" cy="4"/>
            </a:xfrm>
            <a:custGeom>
              <a:avLst/>
              <a:gdLst>
                <a:gd name="T0" fmla="*/ 0 w 11"/>
                <a:gd name="T1" fmla="*/ 0 h 12"/>
                <a:gd name="T2" fmla="*/ 0 w 11"/>
                <a:gd name="T3" fmla="*/ 1 h 12"/>
                <a:gd name="T4" fmla="*/ 1 w 11"/>
                <a:gd name="T5" fmla="*/ 1 h 12"/>
                <a:gd name="T6" fmla="*/ 1 w 11"/>
                <a:gd name="T7" fmla="*/ 1 h 12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12">
                  <a:moveTo>
                    <a:pt x="0" y="0"/>
                  </a:moveTo>
                  <a:lnTo>
                    <a:pt x="3" y="8"/>
                  </a:lnTo>
                  <a:lnTo>
                    <a:pt x="10" y="12"/>
                  </a:lnTo>
                  <a:lnTo>
                    <a:pt x="11" y="1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" name="Freeform 572"/>
            <xdr:cNvSpPr>
              <a:spLocks noChangeAspect="1"/>
            </xdr:cNvSpPr>
          </xdr:nvSpPr>
          <xdr:spPr bwMode="auto">
            <a:xfrm>
              <a:off x="3580" y="1733"/>
              <a:ext cx="20" cy="244"/>
            </a:xfrm>
            <a:custGeom>
              <a:avLst/>
              <a:gdLst>
                <a:gd name="T0" fmla="*/ 7 w 54"/>
                <a:gd name="T1" fmla="*/ 99 h 602"/>
                <a:gd name="T2" fmla="*/ 0 w 54"/>
                <a:gd name="T3" fmla="*/ 0 h 602"/>
                <a:gd name="T4" fmla="*/ 0 w 54"/>
                <a:gd name="T5" fmla="*/ 0 h 60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602">
                  <a:moveTo>
                    <a:pt x="54" y="602"/>
                  </a:moveTo>
                  <a:lnTo>
                    <a:pt x="0" y="0"/>
                  </a:lnTo>
                  <a:lnTo>
                    <a:pt x="2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" name="Freeform 573"/>
            <xdr:cNvSpPr>
              <a:spLocks noChangeAspect="1"/>
            </xdr:cNvSpPr>
          </xdr:nvSpPr>
          <xdr:spPr bwMode="auto">
            <a:xfrm>
              <a:off x="3549" y="2061"/>
              <a:ext cx="65" cy="834"/>
            </a:xfrm>
            <a:custGeom>
              <a:avLst/>
              <a:gdLst>
                <a:gd name="T0" fmla="*/ 23 w 180"/>
                <a:gd name="T1" fmla="*/ 0 h 2044"/>
                <a:gd name="T2" fmla="*/ 0 w 180"/>
                <a:gd name="T3" fmla="*/ 340 h 2044"/>
                <a:gd name="T4" fmla="*/ 0 w 180"/>
                <a:gd name="T5" fmla="*/ 340 h 20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80" h="2044">
                  <a:moveTo>
                    <a:pt x="180" y="0"/>
                  </a:moveTo>
                  <a:lnTo>
                    <a:pt x="0" y="2044"/>
                  </a:lnTo>
                  <a:lnTo>
                    <a:pt x="1" y="2044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" name="Freeform 574"/>
            <xdr:cNvSpPr>
              <a:spLocks noChangeAspect="1"/>
            </xdr:cNvSpPr>
          </xdr:nvSpPr>
          <xdr:spPr bwMode="auto">
            <a:xfrm>
              <a:off x="1115" y="1627"/>
              <a:ext cx="99" cy="106"/>
            </a:xfrm>
            <a:custGeom>
              <a:avLst/>
              <a:gdLst>
                <a:gd name="T0" fmla="*/ 35 w 282"/>
                <a:gd name="T1" fmla="*/ 0 h 255"/>
                <a:gd name="T2" fmla="*/ 25 w 282"/>
                <a:gd name="T3" fmla="*/ 2 h 255"/>
                <a:gd name="T4" fmla="*/ 15 w 282"/>
                <a:gd name="T5" fmla="*/ 8 h 255"/>
                <a:gd name="T6" fmla="*/ 8 w 282"/>
                <a:gd name="T7" fmla="*/ 18 h 255"/>
                <a:gd name="T8" fmla="*/ 2 w 282"/>
                <a:gd name="T9" fmla="*/ 30 h 255"/>
                <a:gd name="T10" fmla="*/ 0 w 282"/>
                <a:gd name="T11" fmla="*/ 44 h 255"/>
                <a:gd name="T12" fmla="*/ 0 w 282"/>
                <a:gd name="T13" fmla="*/ 44 h 25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2" h="255">
                  <a:moveTo>
                    <a:pt x="282" y="0"/>
                  </a:moveTo>
                  <a:lnTo>
                    <a:pt x="200" y="12"/>
                  </a:lnTo>
                  <a:lnTo>
                    <a:pt x="124" y="48"/>
                  </a:lnTo>
                  <a:lnTo>
                    <a:pt x="62" y="103"/>
                  </a:lnTo>
                  <a:lnTo>
                    <a:pt x="19" y="175"/>
                  </a:lnTo>
                  <a:lnTo>
                    <a:pt x="0" y="255"/>
                  </a:lnTo>
                  <a:lnTo>
                    <a:pt x="1" y="255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" name="Freeform 575"/>
            <xdr:cNvSpPr>
              <a:spLocks noChangeAspect="1"/>
            </xdr:cNvSpPr>
          </xdr:nvSpPr>
          <xdr:spPr bwMode="auto">
            <a:xfrm>
              <a:off x="1146" y="2895"/>
              <a:ext cx="100" cy="105"/>
            </a:xfrm>
            <a:custGeom>
              <a:avLst/>
              <a:gdLst>
                <a:gd name="T0" fmla="*/ 0 w 284"/>
                <a:gd name="T1" fmla="*/ 0 h 257"/>
                <a:gd name="T2" fmla="*/ 2 w 284"/>
                <a:gd name="T3" fmla="*/ 13 h 257"/>
                <a:gd name="T4" fmla="*/ 8 w 284"/>
                <a:gd name="T5" fmla="*/ 25 h 257"/>
                <a:gd name="T6" fmla="*/ 15 w 284"/>
                <a:gd name="T7" fmla="*/ 35 h 257"/>
                <a:gd name="T8" fmla="*/ 25 w 284"/>
                <a:gd name="T9" fmla="*/ 41 h 257"/>
                <a:gd name="T10" fmla="*/ 35 w 284"/>
                <a:gd name="T11" fmla="*/ 43 h 257"/>
                <a:gd name="T12" fmla="*/ 35 w 284"/>
                <a:gd name="T13" fmla="*/ 43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0"/>
                  </a:moveTo>
                  <a:lnTo>
                    <a:pt x="20" y="81"/>
                  </a:lnTo>
                  <a:lnTo>
                    <a:pt x="62" y="152"/>
                  </a:lnTo>
                  <a:lnTo>
                    <a:pt x="124" y="209"/>
                  </a:lnTo>
                  <a:lnTo>
                    <a:pt x="200" y="244"/>
                  </a:lnTo>
                  <a:lnTo>
                    <a:pt x="283" y="257"/>
                  </a:lnTo>
                  <a:lnTo>
                    <a:pt x="284" y="25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" name="Freeform 576"/>
            <xdr:cNvSpPr>
              <a:spLocks noChangeAspect="1"/>
            </xdr:cNvSpPr>
          </xdr:nvSpPr>
          <xdr:spPr bwMode="auto">
            <a:xfrm>
              <a:off x="1714" y="3131"/>
              <a:ext cx="28" cy="32"/>
            </a:xfrm>
            <a:custGeom>
              <a:avLst/>
              <a:gdLst>
                <a:gd name="T0" fmla="*/ 10 w 81"/>
                <a:gd name="T1" fmla="*/ 0 h 77"/>
                <a:gd name="T2" fmla="*/ 5 w 81"/>
                <a:gd name="T3" fmla="*/ 2 h 77"/>
                <a:gd name="T4" fmla="*/ 1 w 81"/>
                <a:gd name="T5" fmla="*/ 7 h 77"/>
                <a:gd name="T6" fmla="*/ 0 w 81"/>
                <a:gd name="T7" fmla="*/ 13 h 77"/>
                <a:gd name="T8" fmla="*/ 0 w 81"/>
                <a:gd name="T9" fmla="*/ 13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1" h="77">
                  <a:moveTo>
                    <a:pt x="81" y="0"/>
                  </a:moveTo>
                  <a:lnTo>
                    <a:pt x="42" y="12"/>
                  </a:lnTo>
                  <a:lnTo>
                    <a:pt x="13" y="39"/>
                  </a:lnTo>
                  <a:lnTo>
                    <a:pt x="0" y="77"/>
                  </a:lnTo>
                  <a:lnTo>
                    <a:pt x="1" y="7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" name="Freeform 577"/>
            <xdr:cNvSpPr>
              <a:spLocks noChangeAspect="1"/>
            </xdr:cNvSpPr>
          </xdr:nvSpPr>
          <xdr:spPr bwMode="auto">
            <a:xfrm>
              <a:off x="3366" y="3035"/>
              <a:ext cx="29" cy="35"/>
            </a:xfrm>
            <a:custGeom>
              <a:avLst/>
              <a:gdLst>
                <a:gd name="T0" fmla="*/ 0 w 83"/>
                <a:gd name="T1" fmla="*/ 14 h 85"/>
                <a:gd name="T2" fmla="*/ 5 w 83"/>
                <a:gd name="T3" fmla="*/ 12 h 85"/>
                <a:gd name="T4" fmla="*/ 9 w 83"/>
                <a:gd name="T5" fmla="*/ 7 h 85"/>
                <a:gd name="T6" fmla="*/ 10 w 83"/>
                <a:gd name="T7" fmla="*/ 0 h 85"/>
                <a:gd name="T8" fmla="*/ 10 w 83"/>
                <a:gd name="T9" fmla="*/ 0 h 8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3" h="85">
                  <a:moveTo>
                    <a:pt x="0" y="85"/>
                  </a:moveTo>
                  <a:lnTo>
                    <a:pt x="41" y="72"/>
                  </a:lnTo>
                  <a:lnTo>
                    <a:pt x="71" y="42"/>
                  </a:lnTo>
                  <a:lnTo>
                    <a:pt x="82" y="0"/>
                  </a:lnTo>
                  <a:lnTo>
                    <a:pt x="83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" name="Freeform 578"/>
            <xdr:cNvSpPr>
              <a:spLocks noChangeAspect="1"/>
            </xdr:cNvSpPr>
          </xdr:nvSpPr>
          <xdr:spPr bwMode="auto">
            <a:xfrm>
              <a:off x="1742" y="3070"/>
              <a:ext cx="1624" cy="61"/>
            </a:xfrm>
            <a:custGeom>
              <a:avLst/>
              <a:gdLst>
                <a:gd name="T0" fmla="*/ 580 w 4545"/>
                <a:gd name="T1" fmla="*/ 0 h 156"/>
                <a:gd name="T2" fmla="*/ 0 w 4545"/>
                <a:gd name="T3" fmla="*/ 24 h 156"/>
                <a:gd name="T4" fmla="*/ 0 w 4545"/>
                <a:gd name="T5" fmla="*/ 24 h 15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545" h="156">
                  <a:moveTo>
                    <a:pt x="4545" y="0"/>
                  </a:moveTo>
                  <a:lnTo>
                    <a:pt x="0" y="156"/>
                  </a:lnTo>
                  <a:lnTo>
                    <a:pt x="1" y="156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" name="Freeform 579"/>
            <xdr:cNvSpPr>
              <a:spLocks noChangeAspect="1"/>
            </xdr:cNvSpPr>
          </xdr:nvSpPr>
          <xdr:spPr bwMode="auto">
            <a:xfrm>
              <a:off x="3395" y="3000"/>
              <a:ext cx="31" cy="35"/>
            </a:xfrm>
            <a:custGeom>
              <a:avLst/>
              <a:gdLst>
                <a:gd name="T0" fmla="*/ 11 w 85"/>
                <a:gd name="T1" fmla="*/ 0 h 83"/>
                <a:gd name="T2" fmla="*/ 5 w 85"/>
                <a:gd name="T3" fmla="*/ 2 h 83"/>
                <a:gd name="T4" fmla="*/ 1 w 85"/>
                <a:gd name="T5" fmla="*/ 7 h 83"/>
                <a:gd name="T6" fmla="*/ 0 w 85"/>
                <a:gd name="T7" fmla="*/ 15 h 83"/>
                <a:gd name="T8" fmla="*/ 0 w 85"/>
                <a:gd name="T9" fmla="*/ 15 h 8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5" h="83">
                  <a:moveTo>
                    <a:pt x="85" y="0"/>
                  </a:moveTo>
                  <a:lnTo>
                    <a:pt x="42" y="10"/>
                  </a:lnTo>
                  <a:lnTo>
                    <a:pt x="11" y="41"/>
                  </a:lnTo>
                  <a:lnTo>
                    <a:pt x="0" y="83"/>
                  </a:lnTo>
                  <a:lnTo>
                    <a:pt x="1" y="83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" name="Freeform 580"/>
            <xdr:cNvSpPr>
              <a:spLocks noChangeAspect="1"/>
            </xdr:cNvSpPr>
          </xdr:nvSpPr>
          <xdr:spPr bwMode="auto">
            <a:xfrm>
              <a:off x="3426" y="3000"/>
              <a:ext cx="22" cy="0"/>
            </a:xfrm>
            <a:custGeom>
              <a:avLst/>
              <a:gdLst>
                <a:gd name="T0" fmla="*/ 0 w 62"/>
                <a:gd name="T1" fmla="*/ 8 w 62"/>
                <a:gd name="T2" fmla="*/ 8 w 6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62">
                  <a:moveTo>
                    <a:pt x="0" y="0"/>
                  </a:moveTo>
                  <a:lnTo>
                    <a:pt x="61" y="0"/>
                  </a:lnTo>
                  <a:lnTo>
                    <a:pt x="62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" name="Freeform 581"/>
            <xdr:cNvSpPr>
              <a:spLocks noChangeAspect="1"/>
            </xdr:cNvSpPr>
          </xdr:nvSpPr>
          <xdr:spPr bwMode="auto">
            <a:xfrm>
              <a:off x="1679" y="3198"/>
              <a:ext cx="32" cy="31"/>
            </a:xfrm>
            <a:custGeom>
              <a:avLst/>
              <a:gdLst>
                <a:gd name="T0" fmla="*/ 0 w 86"/>
                <a:gd name="T1" fmla="*/ 12 h 77"/>
                <a:gd name="T2" fmla="*/ 6 w 86"/>
                <a:gd name="T3" fmla="*/ 11 h 77"/>
                <a:gd name="T4" fmla="*/ 10 w 86"/>
                <a:gd name="T5" fmla="*/ 6 h 77"/>
                <a:gd name="T6" fmla="*/ 12 w 86"/>
                <a:gd name="T7" fmla="*/ 0 h 77"/>
                <a:gd name="T8" fmla="*/ 12 w 86"/>
                <a:gd name="T9" fmla="*/ 0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6" h="77">
                  <a:moveTo>
                    <a:pt x="0" y="77"/>
                  </a:moveTo>
                  <a:lnTo>
                    <a:pt x="40" y="67"/>
                  </a:lnTo>
                  <a:lnTo>
                    <a:pt x="70" y="39"/>
                  </a:lnTo>
                  <a:lnTo>
                    <a:pt x="85" y="0"/>
                  </a:lnTo>
                  <a:lnTo>
                    <a:pt x="86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" name="Freeform 582"/>
            <xdr:cNvSpPr>
              <a:spLocks noChangeAspect="1"/>
            </xdr:cNvSpPr>
          </xdr:nvSpPr>
          <xdr:spPr bwMode="auto">
            <a:xfrm>
              <a:off x="1300" y="3198"/>
              <a:ext cx="32" cy="31"/>
            </a:xfrm>
            <a:custGeom>
              <a:avLst/>
              <a:gdLst>
                <a:gd name="T0" fmla="*/ 0 w 85"/>
                <a:gd name="T1" fmla="*/ 0 h 77"/>
                <a:gd name="T2" fmla="*/ 2 w 85"/>
                <a:gd name="T3" fmla="*/ 6 h 77"/>
                <a:gd name="T4" fmla="*/ 6 w 85"/>
                <a:gd name="T5" fmla="*/ 11 h 77"/>
                <a:gd name="T6" fmla="*/ 12 w 85"/>
                <a:gd name="T7" fmla="*/ 12 h 77"/>
                <a:gd name="T8" fmla="*/ 12 w 85"/>
                <a:gd name="T9" fmla="*/ 12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5" h="77">
                  <a:moveTo>
                    <a:pt x="0" y="0"/>
                  </a:moveTo>
                  <a:lnTo>
                    <a:pt x="13" y="39"/>
                  </a:lnTo>
                  <a:lnTo>
                    <a:pt x="44" y="67"/>
                  </a:lnTo>
                  <a:lnTo>
                    <a:pt x="84" y="77"/>
                  </a:lnTo>
                  <a:lnTo>
                    <a:pt x="85" y="7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" name="Freeform 583"/>
            <xdr:cNvSpPr>
              <a:spLocks noChangeAspect="1"/>
            </xdr:cNvSpPr>
          </xdr:nvSpPr>
          <xdr:spPr bwMode="auto">
            <a:xfrm>
              <a:off x="1711" y="3163"/>
              <a:ext cx="3" cy="35"/>
            </a:xfrm>
            <a:custGeom>
              <a:avLst/>
              <a:gdLst>
                <a:gd name="T0" fmla="*/ 1 w 7"/>
                <a:gd name="T1" fmla="*/ 0 h 82"/>
                <a:gd name="T2" fmla="*/ 0 w 7"/>
                <a:gd name="T3" fmla="*/ 15 h 82"/>
                <a:gd name="T4" fmla="*/ 0 w 7"/>
                <a:gd name="T5" fmla="*/ 15 h 8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82">
                  <a:moveTo>
                    <a:pt x="7" y="0"/>
                  </a:moveTo>
                  <a:lnTo>
                    <a:pt x="0" y="82"/>
                  </a:lnTo>
                  <a:lnTo>
                    <a:pt x="1" y="82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" name="Freeform 584"/>
            <xdr:cNvSpPr>
              <a:spLocks noChangeAspect="1"/>
            </xdr:cNvSpPr>
          </xdr:nvSpPr>
          <xdr:spPr bwMode="auto">
            <a:xfrm>
              <a:off x="3448" y="2895"/>
              <a:ext cx="101" cy="105"/>
            </a:xfrm>
            <a:custGeom>
              <a:avLst/>
              <a:gdLst>
                <a:gd name="T0" fmla="*/ 0 w 284"/>
                <a:gd name="T1" fmla="*/ 43 h 257"/>
                <a:gd name="T2" fmla="*/ 11 w 284"/>
                <a:gd name="T3" fmla="*/ 41 h 257"/>
                <a:gd name="T4" fmla="*/ 20 w 284"/>
                <a:gd name="T5" fmla="*/ 35 h 257"/>
                <a:gd name="T6" fmla="*/ 28 w 284"/>
                <a:gd name="T7" fmla="*/ 25 h 257"/>
                <a:gd name="T8" fmla="*/ 33 w 284"/>
                <a:gd name="T9" fmla="*/ 13 h 257"/>
                <a:gd name="T10" fmla="*/ 36 w 284"/>
                <a:gd name="T11" fmla="*/ 0 h 257"/>
                <a:gd name="T12" fmla="*/ 36 w 284"/>
                <a:gd name="T13" fmla="*/ 0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257"/>
                  </a:moveTo>
                  <a:lnTo>
                    <a:pt x="83" y="244"/>
                  </a:lnTo>
                  <a:lnTo>
                    <a:pt x="159" y="209"/>
                  </a:lnTo>
                  <a:lnTo>
                    <a:pt x="221" y="152"/>
                  </a:lnTo>
                  <a:lnTo>
                    <a:pt x="263" y="81"/>
                  </a:lnTo>
                  <a:lnTo>
                    <a:pt x="283" y="0"/>
                  </a:lnTo>
                  <a:lnTo>
                    <a:pt x="284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" name="Freeform 585"/>
            <xdr:cNvSpPr>
              <a:spLocks noChangeAspect="1"/>
            </xdr:cNvSpPr>
          </xdr:nvSpPr>
          <xdr:spPr bwMode="auto">
            <a:xfrm>
              <a:off x="1241" y="3001"/>
              <a:ext cx="44" cy="31"/>
            </a:xfrm>
            <a:custGeom>
              <a:avLst/>
              <a:gdLst>
                <a:gd name="T0" fmla="*/ 23 w 84"/>
                <a:gd name="T1" fmla="*/ 13 h 76"/>
                <a:gd name="T2" fmla="*/ 19 w 84"/>
                <a:gd name="T3" fmla="*/ 6 h 76"/>
                <a:gd name="T4" fmla="*/ 11 w 84"/>
                <a:gd name="T5" fmla="*/ 2 h 76"/>
                <a:gd name="T6" fmla="*/ 0 w 84"/>
                <a:gd name="T7" fmla="*/ 0 h 76"/>
                <a:gd name="T8" fmla="*/ 1 w 84"/>
                <a:gd name="T9" fmla="*/ 0 h 7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76">
                  <a:moveTo>
                    <a:pt x="84" y="76"/>
                  </a:moveTo>
                  <a:lnTo>
                    <a:pt x="71" y="37"/>
                  </a:lnTo>
                  <a:lnTo>
                    <a:pt x="40" y="9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" name="Freeform 586"/>
            <xdr:cNvSpPr>
              <a:spLocks noChangeAspect="1"/>
            </xdr:cNvSpPr>
          </xdr:nvSpPr>
          <xdr:spPr bwMode="auto">
            <a:xfrm>
              <a:off x="1285" y="3032"/>
              <a:ext cx="15" cy="166"/>
            </a:xfrm>
            <a:custGeom>
              <a:avLst/>
              <a:gdLst>
                <a:gd name="T0" fmla="*/ 0 w 38"/>
                <a:gd name="T1" fmla="*/ 0 h 407"/>
                <a:gd name="T2" fmla="*/ 6 w 38"/>
                <a:gd name="T3" fmla="*/ 68 h 407"/>
                <a:gd name="T4" fmla="*/ 6 w 38"/>
                <a:gd name="T5" fmla="*/ 68 h 40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8" h="407">
                  <a:moveTo>
                    <a:pt x="0" y="0"/>
                  </a:moveTo>
                  <a:lnTo>
                    <a:pt x="37" y="407"/>
                  </a:lnTo>
                  <a:lnTo>
                    <a:pt x="38" y="40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8" name="Freeform 587"/>
            <xdr:cNvSpPr>
              <a:spLocks noChangeAspect="1"/>
            </xdr:cNvSpPr>
          </xdr:nvSpPr>
          <xdr:spPr bwMode="auto">
            <a:xfrm>
              <a:off x="1332" y="3229"/>
              <a:ext cx="351" cy="0"/>
            </a:xfrm>
            <a:custGeom>
              <a:avLst/>
              <a:gdLst>
                <a:gd name="T0" fmla="*/ 0 w 980"/>
                <a:gd name="T1" fmla="*/ 126 w 980"/>
                <a:gd name="T2" fmla="*/ 126 w 98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0">
                  <a:moveTo>
                    <a:pt x="0" y="0"/>
                  </a:moveTo>
                  <a:lnTo>
                    <a:pt x="979" y="0"/>
                  </a:lnTo>
                  <a:lnTo>
                    <a:pt x="98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9" name="Freeform 588"/>
            <xdr:cNvSpPr>
              <a:spLocks noChangeAspect="1"/>
            </xdr:cNvSpPr>
          </xdr:nvSpPr>
          <xdr:spPr bwMode="auto">
            <a:xfrm>
              <a:off x="1146" y="2895"/>
              <a:ext cx="100" cy="106"/>
            </a:xfrm>
            <a:custGeom>
              <a:avLst/>
              <a:gdLst>
                <a:gd name="T0" fmla="*/ 0 w 284"/>
                <a:gd name="T1" fmla="*/ 0 h 257"/>
                <a:gd name="T2" fmla="*/ 2 w 284"/>
                <a:gd name="T3" fmla="*/ 14 h 257"/>
                <a:gd name="T4" fmla="*/ 8 w 284"/>
                <a:gd name="T5" fmla="*/ 26 h 257"/>
                <a:gd name="T6" fmla="*/ 15 w 284"/>
                <a:gd name="T7" fmla="*/ 35 h 257"/>
                <a:gd name="T8" fmla="*/ 25 w 284"/>
                <a:gd name="T9" fmla="*/ 42 h 257"/>
                <a:gd name="T10" fmla="*/ 35 w 284"/>
                <a:gd name="T11" fmla="*/ 44 h 257"/>
                <a:gd name="T12" fmla="*/ 35 w 284"/>
                <a:gd name="T13" fmla="*/ 44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0"/>
                  </a:moveTo>
                  <a:lnTo>
                    <a:pt x="20" y="81"/>
                  </a:lnTo>
                  <a:lnTo>
                    <a:pt x="62" y="152"/>
                  </a:lnTo>
                  <a:lnTo>
                    <a:pt x="124" y="209"/>
                  </a:lnTo>
                  <a:lnTo>
                    <a:pt x="200" y="244"/>
                  </a:lnTo>
                  <a:lnTo>
                    <a:pt x="283" y="257"/>
                  </a:lnTo>
                  <a:lnTo>
                    <a:pt x="284" y="25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130" name="Group 589"/>
            <xdr:cNvGrpSpPr>
              <a:grpSpLocks noChangeAspect="1"/>
            </xdr:cNvGrpSpPr>
          </xdr:nvGrpSpPr>
          <xdr:grpSpPr bwMode="auto">
            <a:xfrm>
              <a:off x="1080" y="1733"/>
              <a:ext cx="66" cy="1162"/>
              <a:chOff x="1529" y="1501"/>
              <a:chExt cx="70" cy="1239"/>
            </a:xfrm>
          </xdr:grpSpPr>
          <xdr:sp macro="" textlink="">
            <xdr:nvSpPr>
              <xdr:cNvPr id="227" name="Freeform 590"/>
              <xdr:cNvSpPr>
                <a:spLocks noChangeAspect="1"/>
              </xdr:cNvSpPr>
            </xdr:nvSpPr>
            <xdr:spPr bwMode="auto">
              <a:xfrm>
                <a:off x="1541" y="1762"/>
                <a:ext cx="3" cy="4"/>
              </a:xfrm>
              <a:custGeom>
                <a:avLst/>
                <a:gdLst>
                  <a:gd name="T0" fmla="*/ 0 w 12"/>
                  <a:gd name="T1" fmla="*/ 1 h 12"/>
                  <a:gd name="T2" fmla="*/ 1 w 12"/>
                  <a:gd name="T3" fmla="*/ 1 h 12"/>
                  <a:gd name="T4" fmla="*/ 1 w 12"/>
                  <a:gd name="T5" fmla="*/ 0 h 12"/>
                  <a:gd name="T6" fmla="*/ 1 w 12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2" h="12">
                    <a:moveTo>
                      <a:pt x="0" y="12"/>
                    </a:moveTo>
                    <a:lnTo>
                      <a:pt x="7" y="8"/>
                    </a:lnTo>
                    <a:lnTo>
                      <a:pt x="11" y="0"/>
                    </a:lnTo>
                    <a:lnTo>
                      <a:pt x="12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8" name="Freeform 591"/>
              <xdr:cNvSpPr>
                <a:spLocks noChangeAspect="1"/>
              </xdr:cNvSpPr>
            </xdr:nvSpPr>
            <xdr:spPr bwMode="auto">
              <a:xfrm>
                <a:off x="1535" y="1766"/>
                <a:ext cx="6" cy="6"/>
              </a:xfrm>
              <a:custGeom>
                <a:avLst/>
                <a:gdLst>
                  <a:gd name="T0" fmla="*/ 3 w 11"/>
                  <a:gd name="T1" fmla="*/ 0 h 13"/>
                  <a:gd name="T2" fmla="*/ 1 w 11"/>
                  <a:gd name="T3" fmla="*/ 1 h 13"/>
                  <a:gd name="T4" fmla="*/ 0 w 11"/>
                  <a:gd name="T5" fmla="*/ 3 h 13"/>
                  <a:gd name="T6" fmla="*/ 1 w 11"/>
                  <a:gd name="T7" fmla="*/ 3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1" h="13">
                    <a:moveTo>
                      <a:pt x="11" y="0"/>
                    </a:moveTo>
                    <a:lnTo>
                      <a:pt x="3" y="5"/>
                    </a:lnTo>
                    <a:lnTo>
                      <a:pt x="0" y="13"/>
                    </a:lnTo>
                    <a:lnTo>
                      <a:pt x="1" y="13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9" name="Freeform 592"/>
              <xdr:cNvSpPr>
                <a:spLocks noChangeAspect="1"/>
              </xdr:cNvSpPr>
            </xdr:nvSpPr>
            <xdr:spPr bwMode="auto">
              <a:xfrm>
                <a:off x="1529" y="1772"/>
                <a:ext cx="6" cy="79"/>
              </a:xfrm>
              <a:custGeom>
                <a:avLst/>
                <a:gdLst>
                  <a:gd name="T0" fmla="*/ 0 w 17"/>
                  <a:gd name="T1" fmla="*/ 34 h 183"/>
                  <a:gd name="T2" fmla="*/ 2 w 17"/>
                  <a:gd name="T3" fmla="*/ 0 h 183"/>
                  <a:gd name="T4" fmla="*/ 2 w 17"/>
                  <a:gd name="T5" fmla="*/ 0 h 18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7" h="183">
                    <a:moveTo>
                      <a:pt x="0" y="183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0" name="Freeform 593"/>
              <xdr:cNvSpPr>
                <a:spLocks noChangeAspect="1"/>
              </xdr:cNvSpPr>
            </xdr:nvSpPr>
            <xdr:spPr bwMode="auto">
              <a:xfrm>
                <a:off x="1544" y="1501"/>
                <a:ext cx="22" cy="261"/>
              </a:xfrm>
              <a:custGeom>
                <a:avLst/>
                <a:gdLst>
                  <a:gd name="T0" fmla="*/ 0 w 54"/>
                  <a:gd name="T1" fmla="*/ 113 h 602"/>
                  <a:gd name="T2" fmla="*/ 9 w 54"/>
                  <a:gd name="T3" fmla="*/ 0 h 602"/>
                  <a:gd name="T4" fmla="*/ 9 w 54"/>
                  <a:gd name="T5" fmla="*/ 0 h 60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4" h="602">
                    <a:moveTo>
                      <a:pt x="0" y="602"/>
                    </a:moveTo>
                    <a:lnTo>
                      <a:pt x="53" y="0"/>
                    </a:lnTo>
                    <a:lnTo>
                      <a:pt x="54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1" name="Freeform 594"/>
              <xdr:cNvSpPr>
                <a:spLocks noChangeAspect="1"/>
              </xdr:cNvSpPr>
            </xdr:nvSpPr>
            <xdr:spPr bwMode="auto">
              <a:xfrm>
                <a:off x="1529" y="1851"/>
                <a:ext cx="70" cy="889"/>
              </a:xfrm>
              <a:custGeom>
                <a:avLst/>
                <a:gdLst>
                  <a:gd name="T0" fmla="*/ 0 w 182"/>
                  <a:gd name="T1" fmla="*/ 0 h 2044"/>
                  <a:gd name="T2" fmla="*/ 27 w 182"/>
                  <a:gd name="T3" fmla="*/ 387 h 2044"/>
                  <a:gd name="T4" fmla="*/ 27 w 182"/>
                  <a:gd name="T5" fmla="*/ 387 h 20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82" h="2044">
                    <a:moveTo>
                      <a:pt x="0" y="0"/>
                    </a:moveTo>
                    <a:lnTo>
                      <a:pt x="180" y="2044"/>
                    </a:lnTo>
                    <a:lnTo>
                      <a:pt x="182" y="2044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131" name="Group 595"/>
            <xdr:cNvGrpSpPr>
              <a:grpSpLocks noChangeAspect="1"/>
            </xdr:cNvGrpSpPr>
          </xdr:nvGrpSpPr>
          <xdr:grpSpPr bwMode="auto">
            <a:xfrm>
              <a:off x="1222" y="1613"/>
              <a:ext cx="89" cy="33"/>
              <a:chOff x="1681" y="1373"/>
              <a:chExt cx="95" cy="36"/>
            </a:xfrm>
          </xdr:grpSpPr>
          <xdr:sp macro="" textlink="">
            <xdr:nvSpPr>
              <xdr:cNvPr id="209" name="Freeform 596"/>
              <xdr:cNvSpPr>
                <a:spLocks noChangeAspect="1"/>
              </xdr:cNvSpPr>
            </xdr:nvSpPr>
            <xdr:spPr bwMode="auto">
              <a:xfrm>
                <a:off x="1681" y="1388"/>
                <a:ext cx="94" cy="0"/>
              </a:xfrm>
              <a:custGeom>
                <a:avLst/>
                <a:gdLst>
                  <a:gd name="T0" fmla="*/ 0 w 247"/>
                  <a:gd name="T1" fmla="*/ 36 w 247"/>
                  <a:gd name="T2" fmla="*/ 36 w 24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7">
                    <a:moveTo>
                      <a:pt x="0" y="0"/>
                    </a:moveTo>
                    <a:lnTo>
                      <a:pt x="246" y="0"/>
                    </a:lnTo>
                    <a:lnTo>
                      <a:pt x="2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0" name="Freeform 597"/>
              <xdr:cNvSpPr>
                <a:spLocks noChangeAspect="1"/>
              </xdr:cNvSpPr>
            </xdr:nvSpPr>
            <xdr:spPr bwMode="auto">
              <a:xfrm>
                <a:off x="1754" y="1373"/>
                <a:ext cx="0" cy="15"/>
              </a:xfrm>
              <a:custGeom>
                <a:avLst/>
                <a:gdLst>
                  <a:gd name="T0" fmla="*/ 0 w 1"/>
                  <a:gd name="T1" fmla="*/ 0 h 33"/>
                  <a:gd name="T2" fmla="*/ 0 w 1"/>
                  <a:gd name="T3" fmla="*/ 7 h 33"/>
                  <a:gd name="T4" fmla="*/ 1 w 1"/>
                  <a:gd name="T5" fmla="*/ 7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0"/>
                    </a:moveTo>
                    <a:lnTo>
                      <a:pt x="0" y="33"/>
                    </a:lnTo>
                    <a:lnTo>
                      <a:pt x="1" y="3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1" name="Freeform 598"/>
              <xdr:cNvSpPr>
                <a:spLocks noChangeAspect="1"/>
              </xdr:cNvSpPr>
            </xdr:nvSpPr>
            <xdr:spPr bwMode="auto">
              <a:xfrm>
                <a:off x="1775" y="1373"/>
                <a:ext cx="0" cy="15"/>
              </a:xfrm>
              <a:custGeom>
                <a:avLst/>
                <a:gdLst>
                  <a:gd name="T0" fmla="*/ 0 w 1"/>
                  <a:gd name="T1" fmla="*/ 7 h 33"/>
                  <a:gd name="T2" fmla="*/ 0 w 1"/>
                  <a:gd name="T3" fmla="*/ 0 h 33"/>
                  <a:gd name="T4" fmla="*/ 1 w 1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3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2" name="Freeform 599"/>
              <xdr:cNvSpPr>
                <a:spLocks noChangeAspect="1"/>
              </xdr:cNvSpPr>
            </xdr:nvSpPr>
            <xdr:spPr bwMode="auto">
              <a:xfrm>
                <a:off x="1681" y="1373"/>
                <a:ext cx="3" cy="15"/>
              </a:xfrm>
              <a:custGeom>
                <a:avLst/>
                <a:gdLst>
                  <a:gd name="T0" fmla="*/ 0 w 1"/>
                  <a:gd name="T1" fmla="*/ 7 h 33"/>
                  <a:gd name="T2" fmla="*/ 0 w 1"/>
                  <a:gd name="T3" fmla="*/ 0 h 33"/>
                  <a:gd name="T4" fmla="*/ 9 w 1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3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3" name="Freeform 600"/>
              <xdr:cNvSpPr>
                <a:spLocks noChangeAspect="1"/>
              </xdr:cNvSpPr>
            </xdr:nvSpPr>
            <xdr:spPr bwMode="auto">
              <a:xfrm>
                <a:off x="1702" y="1373"/>
                <a:ext cx="0" cy="15"/>
              </a:xfrm>
              <a:custGeom>
                <a:avLst/>
                <a:gdLst>
                  <a:gd name="T0" fmla="*/ 0 w 2"/>
                  <a:gd name="T1" fmla="*/ 0 h 33"/>
                  <a:gd name="T2" fmla="*/ 0 w 2"/>
                  <a:gd name="T3" fmla="*/ 7 h 33"/>
                  <a:gd name="T4" fmla="*/ 1 w 2"/>
                  <a:gd name="T5" fmla="*/ 7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33">
                    <a:moveTo>
                      <a:pt x="0" y="0"/>
                    </a:moveTo>
                    <a:lnTo>
                      <a:pt x="0" y="33"/>
                    </a:lnTo>
                    <a:lnTo>
                      <a:pt x="2" y="3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4" name="Freeform 601"/>
              <xdr:cNvSpPr>
                <a:spLocks noChangeAspect="1"/>
              </xdr:cNvSpPr>
            </xdr:nvSpPr>
            <xdr:spPr bwMode="auto">
              <a:xfrm>
                <a:off x="1681" y="1373"/>
                <a:ext cx="21" cy="0"/>
              </a:xfrm>
              <a:custGeom>
                <a:avLst/>
                <a:gdLst>
                  <a:gd name="T0" fmla="*/ 0 w 53"/>
                  <a:gd name="T1" fmla="*/ 8 w 53"/>
                  <a:gd name="T2" fmla="*/ 8 w 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3">
                    <a:moveTo>
                      <a:pt x="0" y="0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5" name="Freeform 602"/>
              <xdr:cNvSpPr>
                <a:spLocks noChangeAspect="1"/>
              </xdr:cNvSpPr>
            </xdr:nvSpPr>
            <xdr:spPr bwMode="auto">
              <a:xfrm>
                <a:off x="1757" y="1373"/>
                <a:ext cx="18" cy="0"/>
              </a:xfrm>
              <a:custGeom>
                <a:avLst/>
                <a:gdLst>
                  <a:gd name="T0" fmla="*/ 0 w 53"/>
                  <a:gd name="T1" fmla="*/ 6 w 53"/>
                  <a:gd name="T2" fmla="*/ 6 w 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3">
                    <a:moveTo>
                      <a:pt x="0" y="0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6" name="Freeform 603"/>
              <xdr:cNvSpPr>
                <a:spLocks noChangeAspect="1"/>
              </xdr:cNvSpPr>
            </xdr:nvSpPr>
            <xdr:spPr bwMode="auto">
              <a:xfrm>
                <a:off x="1702" y="1373"/>
                <a:ext cx="55" cy="0"/>
              </a:xfrm>
              <a:custGeom>
                <a:avLst/>
                <a:gdLst>
                  <a:gd name="T0" fmla="*/ 0 w 143"/>
                  <a:gd name="T1" fmla="*/ 21 w 143"/>
                  <a:gd name="T2" fmla="*/ 21 w 14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43">
                    <a:moveTo>
                      <a:pt x="0" y="0"/>
                    </a:moveTo>
                    <a:lnTo>
                      <a:pt x="142" y="0"/>
                    </a:lnTo>
                    <a:lnTo>
                      <a:pt x="1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7" name="Freeform 604"/>
              <xdr:cNvSpPr>
                <a:spLocks noChangeAspect="1"/>
              </xdr:cNvSpPr>
            </xdr:nvSpPr>
            <xdr:spPr bwMode="auto">
              <a:xfrm>
                <a:off x="1776" y="1388"/>
                <a:ext cx="0" cy="15"/>
              </a:xfrm>
              <a:custGeom>
                <a:avLst/>
                <a:gdLst>
                  <a:gd name="T0" fmla="*/ 0 w 1"/>
                  <a:gd name="T1" fmla="*/ 0 h 32"/>
                  <a:gd name="T2" fmla="*/ 0 w 1"/>
                  <a:gd name="T3" fmla="*/ 7 h 32"/>
                  <a:gd name="T4" fmla="*/ 1 w 1"/>
                  <a:gd name="T5" fmla="*/ 7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0"/>
                    </a:moveTo>
                    <a:lnTo>
                      <a:pt x="0" y="32"/>
                    </a:lnTo>
                    <a:lnTo>
                      <a:pt x="1" y="3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8" name="Freeform 605"/>
              <xdr:cNvSpPr>
                <a:spLocks noChangeAspect="1"/>
              </xdr:cNvSpPr>
            </xdr:nvSpPr>
            <xdr:spPr bwMode="auto">
              <a:xfrm>
                <a:off x="1754" y="1388"/>
                <a:ext cx="0" cy="15"/>
              </a:xfrm>
              <a:custGeom>
                <a:avLst/>
                <a:gdLst>
                  <a:gd name="T0" fmla="*/ 0 w 1"/>
                  <a:gd name="T1" fmla="*/ 7 h 32"/>
                  <a:gd name="T2" fmla="*/ 0 w 1"/>
                  <a:gd name="T3" fmla="*/ 0 h 32"/>
                  <a:gd name="T4" fmla="*/ 1 w 1"/>
                  <a:gd name="T5" fmla="*/ 0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3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9" name="Freeform 606"/>
              <xdr:cNvSpPr>
                <a:spLocks noChangeAspect="1"/>
              </xdr:cNvSpPr>
            </xdr:nvSpPr>
            <xdr:spPr bwMode="auto">
              <a:xfrm>
                <a:off x="1757" y="1403"/>
                <a:ext cx="3" cy="6"/>
              </a:xfrm>
              <a:custGeom>
                <a:avLst/>
                <a:gdLst>
                  <a:gd name="T0" fmla="*/ 0 w 1"/>
                  <a:gd name="T1" fmla="*/ 0 h 19"/>
                  <a:gd name="T2" fmla="*/ 0 w 1"/>
                  <a:gd name="T3" fmla="*/ 2 h 19"/>
                  <a:gd name="T4" fmla="*/ 9 w 1"/>
                  <a:gd name="T5" fmla="*/ 2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">
                    <a:moveTo>
                      <a:pt x="0" y="0"/>
                    </a:moveTo>
                    <a:lnTo>
                      <a:pt x="0" y="19"/>
                    </a:lnTo>
                    <a:lnTo>
                      <a:pt x="1" y="19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0" name="Freeform 607"/>
              <xdr:cNvSpPr>
                <a:spLocks noChangeAspect="1"/>
              </xdr:cNvSpPr>
            </xdr:nvSpPr>
            <xdr:spPr bwMode="auto">
              <a:xfrm>
                <a:off x="1681" y="1388"/>
                <a:ext cx="3" cy="15"/>
              </a:xfrm>
              <a:custGeom>
                <a:avLst/>
                <a:gdLst>
                  <a:gd name="T0" fmla="*/ 0 w 1"/>
                  <a:gd name="T1" fmla="*/ 0 h 32"/>
                  <a:gd name="T2" fmla="*/ 0 w 1"/>
                  <a:gd name="T3" fmla="*/ 7 h 32"/>
                  <a:gd name="T4" fmla="*/ 9 w 1"/>
                  <a:gd name="T5" fmla="*/ 7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0"/>
                    </a:moveTo>
                    <a:lnTo>
                      <a:pt x="0" y="32"/>
                    </a:lnTo>
                    <a:lnTo>
                      <a:pt x="1" y="3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1" name="Freeform 608"/>
              <xdr:cNvSpPr>
                <a:spLocks noChangeAspect="1"/>
              </xdr:cNvSpPr>
            </xdr:nvSpPr>
            <xdr:spPr bwMode="auto">
              <a:xfrm>
                <a:off x="1703" y="1388"/>
                <a:ext cx="0" cy="15"/>
              </a:xfrm>
              <a:custGeom>
                <a:avLst/>
                <a:gdLst>
                  <a:gd name="T0" fmla="*/ 0 w 2"/>
                  <a:gd name="T1" fmla="*/ 7 h 32"/>
                  <a:gd name="T2" fmla="*/ 0 w 2"/>
                  <a:gd name="T3" fmla="*/ 0 h 32"/>
                  <a:gd name="T4" fmla="*/ 1 w 2"/>
                  <a:gd name="T5" fmla="*/ 0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32">
                    <a:moveTo>
                      <a:pt x="0" y="32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2" name="Freeform 609"/>
              <xdr:cNvSpPr>
                <a:spLocks noChangeAspect="1"/>
              </xdr:cNvSpPr>
            </xdr:nvSpPr>
            <xdr:spPr bwMode="auto">
              <a:xfrm>
                <a:off x="1700" y="1403"/>
                <a:ext cx="0" cy="6"/>
              </a:xfrm>
              <a:custGeom>
                <a:avLst/>
                <a:gdLst>
                  <a:gd name="T0" fmla="*/ 0 w 1"/>
                  <a:gd name="T1" fmla="*/ 0 h 19"/>
                  <a:gd name="T2" fmla="*/ 0 w 1"/>
                  <a:gd name="T3" fmla="*/ 2 h 19"/>
                  <a:gd name="T4" fmla="*/ 1 w 1"/>
                  <a:gd name="T5" fmla="*/ 2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">
                    <a:moveTo>
                      <a:pt x="0" y="0"/>
                    </a:moveTo>
                    <a:lnTo>
                      <a:pt x="0" y="19"/>
                    </a:lnTo>
                    <a:lnTo>
                      <a:pt x="1" y="19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3" name="Freeform 610"/>
              <xdr:cNvSpPr>
                <a:spLocks noChangeAspect="1"/>
              </xdr:cNvSpPr>
            </xdr:nvSpPr>
            <xdr:spPr bwMode="auto">
              <a:xfrm>
                <a:off x="1681" y="1403"/>
                <a:ext cx="95" cy="0"/>
              </a:xfrm>
              <a:custGeom>
                <a:avLst/>
                <a:gdLst>
                  <a:gd name="T0" fmla="*/ 0 w 247"/>
                  <a:gd name="T1" fmla="*/ 37 w 247"/>
                  <a:gd name="T2" fmla="*/ 37 w 24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7">
                    <a:moveTo>
                      <a:pt x="0" y="0"/>
                    </a:moveTo>
                    <a:lnTo>
                      <a:pt x="246" y="0"/>
                    </a:lnTo>
                    <a:lnTo>
                      <a:pt x="2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4" name="Freeform 611"/>
              <xdr:cNvSpPr>
                <a:spLocks noChangeAspect="1"/>
              </xdr:cNvSpPr>
            </xdr:nvSpPr>
            <xdr:spPr bwMode="auto">
              <a:xfrm>
                <a:off x="1700" y="1409"/>
                <a:ext cx="3" cy="0"/>
              </a:xfrm>
              <a:custGeom>
                <a:avLst/>
                <a:gdLst>
                  <a:gd name="T0" fmla="*/ 0 w 8"/>
                  <a:gd name="T1" fmla="*/ 1 w 8"/>
                  <a:gd name="T2" fmla="*/ 1 w 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">
                    <a:moveTo>
                      <a:pt x="0" y="0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5" name="Freeform 612"/>
              <xdr:cNvSpPr>
                <a:spLocks noChangeAspect="1"/>
              </xdr:cNvSpPr>
            </xdr:nvSpPr>
            <xdr:spPr bwMode="auto">
              <a:xfrm>
                <a:off x="1757" y="1409"/>
                <a:ext cx="3" cy="0"/>
              </a:xfrm>
              <a:custGeom>
                <a:avLst/>
                <a:gdLst>
                  <a:gd name="T0" fmla="*/ 0 w 8"/>
                  <a:gd name="T1" fmla="*/ 1 w 8"/>
                  <a:gd name="T2" fmla="*/ 1 w 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">
                    <a:moveTo>
                      <a:pt x="0" y="0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6" name="Freeform 613"/>
              <xdr:cNvSpPr>
                <a:spLocks noChangeAspect="1"/>
              </xdr:cNvSpPr>
            </xdr:nvSpPr>
            <xdr:spPr bwMode="auto">
              <a:xfrm>
                <a:off x="1703" y="1409"/>
                <a:ext cx="54" cy="0"/>
              </a:xfrm>
              <a:custGeom>
                <a:avLst/>
                <a:gdLst>
                  <a:gd name="T0" fmla="*/ 0 w 143"/>
                  <a:gd name="T1" fmla="*/ 20 w 143"/>
                  <a:gd name="T2" fmla="*/ 20 w 14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43">
                    <a:moveTo>
                      <a:pt x="0" y="0"/>
                    </a:moveTo>
                    <a:lnTo>
                      <a:pt x="142" y="0"/>
                    </a:lnTo>
                    <a:lnTo>
                      <a:pt x="1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132" name="Freeform 614"/>
            <xdr:cNvSpPr>
              <a:spLocks noChangeAspect="1"/>
            </xdr:cNvSpPr>
          </xdr:nvSpPr>
          <xdr:spPr bwMode="auto">
            <a:xfrm>
              <a:off x="2600" y="1627"/>
              <a:ext cx="874" cy="0"/>
            </a:xfrm>
            <a:custGeom>
              <a:avLst/>
              <a:gdLst>
                <a:gd name="T0" fmla="*/ 0 w 2273"/>
                <a:gd name="T1" fmla="*/ 336 w 2273"/>
                <a:gd name="T2" fmla="*/ 336 w 2273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273">
                  <a:moveTo>
                    <a:pt x="0" y="0"/>
                  </a:moveTo>
                  <a:lnTo>
                    <a:pt x="2272" y="0"/>
                  </a:lnTo>
                  <a:lnTo>
                    <a:pt x="2273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133" name="Group 615"/>
            <xdr:cNvGrpSpPr>
              <a:grpSpLocks noChangeAspect="1"/>
            </xdr:cNvGrpSpPr>
          </xdr:nvGrpSpPr>
          <xdr:grpSpPr bwMode="auto">
            <a:xfrm>
              <a:off x="1213" y="3281"/>
              <a:ext cx="87" cy="217"/>
              <a:chOff x="1358" y="2299"/>
              <a:chExt cx="42" cy="105"/>
            </a:xfrm>
          </xdr:grpSpPr>
          <xdr:grpSp>
            <xdr:nvGrpSpPr>
              <xdr:cNvPr id="142" name="Group 616"/>
              <xdr:cNvGrpSpPr>
                <a:grpSpLocks noChangeAspect="1"/>
              </xdr:cNvGrpSpPr>
            </xdr:nvGrpSpPr>
            <xdr:grpSpPr bwMode="auto">
              <a:xfrm>
                <a:off x="1358" y="2362"/>
                <a:ext cx="41" cy="42"/>
                <a:chOff x="1358" y="2465"/>
                <a:chExt cx="41" cy="42"/>
              </a:xfrm>
            </xdr:grpSpPr>
            <xdr:sp macro="" textlink="">
              <xdr:nvSpPr>
                <xdr:cNvPr id="188" name="Freeform 617"/>
                <xdr:cNvSpPr>
                  <a:spLocks noChangeAspect="1"/>
                </xdr:cNvSpPr>
              </xdr:nvSpPr>
              <xdr:spPr bwMode="auto">
                <a:xfrm>
                  <a:off x="1360" y="2465"/>
                  <a:ext cx="37" cy="0"/>
                </a:xfrm>
                <a:custGeom>
                  <a:avLst/>
                  <a:gdLst>
                    <a:gd name="T0" fmla="*/ 5 w 300"/>
                    <a:gd name="T1" fmla="*/ 0 w 300"/>
                    <a:gd name="T2" fmla="*/ 0 w 300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300">
                      <a:moveTo>
                        <a:pt x="300" y="0"/>
                      </a:move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9" name="Freeform 618"/>
                <xdr:cNvSpPr>
                  <a:spLocks noChangeAspect="1"/>
                </xdr:cNvSpPr>
              </xdr:nvSpPr>
              <xdr:spPr bwMode="auto">
                <a:xfrm>
                  <a:off x="1367" y="2507"/>
                  <a:ext cx="23" cy="0"/>
                </a:xfrm>
                <a:custGeom>
                  <a:avLst/>
                  <a:gdLst>
                    <a:gd name="T0" fmla="*/ 3 w 181"/>
                    <a:gd name="T1" fmla="*/ 0 w 181"/>
                    <a:gd name="T2" fmla="*/ 0 w 181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181">
                      <a:moveTo>
                        <a:pt x="181" y="0"/>
                      </a:moveTo>
                      <a:lnTo>
                        <a:pt x="0" y="0"/>
                      </a:lnTo>
                      <a:lnTo>
                        <a:pt x="2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" name="Freeform 619"/>
                <xdr:cNvSpPr>
                  <a:spLocks noChangeAspect="1"/>
                </xdr:cNvSpPr>
              </xdr:nvSpPr>
              <xdr:spPr bwMode="auto">
                <a:xfrm>
                  <a:off x="1390" y="2502"/>
                  <a:ext cx="5" cy="5"/>
                </a:xfrm>
                <a:custGeom>
                  <a:avLst/>
                  <a:gdLst>
                    <a:gd name="T0" fmla="*/ 0 w 39"/>
                    <a:gd name="T1" fmla="*/ 1 h 37"/>
                    <a:gd name="T2" fmla="*/ 0 w 39"/>
                    <a:gd name="T3" fmla="*/ 1 h 37"/>
                    <a:gd name="T4" fmla="*/ 1 w 39"/>
                    <a:gd name="T5" fmla="*/ 0 h 37"/>
                    <a:gd name="T6" fmla="*/ 1 w 39"/>
                    <a:gd name="T7" fmla="*/ 0 h 37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39" h="37">
                      <a:moveTo>
                        <a:pt x="0" y="37"/>
                      </a:moveTo>
                      <a:lnTo>
                        <a:pt x="27" y="27"/>
                      </a:lnTo>
                      <a:lnTo>
                        <a:pt x="38" y="0"/>
                      </a:lnTo>
                      <a:lnTo>
                        <a:pt x="39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1" name="Freeform 620"/>
                <xdr:cNvSpPr>
                  <a:spLocks noChangeAspect="1"/>
                </xdr:cNvSpPr>
              </xdr:nvSpPr>
              <xdr:spPr bwMode="auto">
                <a:xfrm>
                  <a:off x="1395" y="2477"/>
                  <a:ext cx="0" cy="25"/>
                </a:xfrm>
                <a:custGeom>
                  <a:avLst/>
                  <a:gdLst>
                    <a:gd name="T0" fmla="*/ 0 w 1"/>
                    <a:gd name="T1" fmla="*/ 0 h 172"/>
                    <a:gd name="T2" fmla="*/ 0 w 1"/>
                    <a:gd name="T3" fmla="*/ 4 h 172"/>
                    <a:gd name="T4" fmla="*/ 1 w 1"/>
                    <a:gd name="T5" fmla="*/ 4 h 1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172">
                      <a:moveTo>
                        <a:pt x="0" y="0"/>
                      </a:moveTo>
                      <a:lnTo>
                        <a:pt x="0" y="172"/>
                      </a:lnTo>
                      <a:lnTo>
                        <a:pt x="1" y="1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2" name="Freeform 621"/>
                <xdr:cNvSpPr>
                  <a:spLocks noChangeAspect="1"/>
                </xdr:cNvSpPr>
              </xdr:nvSpPr>
              <xdr:spPr bwMode="auto">
                <a:xfrm>
                  <a:off x="1399" y="2467"/>
                  <a:ext cx="0" cy="6"/>
                </a:xfrm>
                <a:custGeom>
                  <a:avLst/>
                  <a:gdLst>
                    <a:gd name="T0" fmla="*/ 0 w 1"/>
                    <a:gd name="T1" fmla="*/ 0 h 48"/>
                    <a:gd name="T2" fmla="*/ 0 w 1"/>
                    <a:gd name="T3" fmla="*/ 1 h 48"/>
                    <a:gd name="T4" fmla="*/ 1 w 1"/>
                    <a:gd name="T5" fmla="*/ 1 h 48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48">
                      <a:moveTo>
                        <a:pt x="0" y="0"/>
                      </a:moveTo>
                      <a:lnTo>
                        <a:pt x="0" y="48"/>
                      </a:lnTo>
                      <a:lnTo>
                        <a:pt x="1" y="48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3" name="Freeform 622"/>
                <xdr:cNvSpPr>
                  <a:spLocks noChangeAspect="1"/>
                </xdr:cNvSpPr>
              </xdr:nvSpPr>
              <xdr:spPr bwMode="auto">
                <a:xfrm>
                  <a:off x="1395" y="2475"/>
                  <a:ext cx="1" cy="2"/>
                </a:xfrm>
                <a:custGeom>
                  <a:avLst/>
                  <a:gdLst>
                    <a:gd name="T0" fmla="*/ 0 w 13"/>
                    <a:gd name="T1" fmla="*/ 0 h 13"/>
                    <a:gd name="T2" fmla="*/ 0 w 13"/>
                    <a:gd name="T3" fmla="*/ 0 h 13"/>
                    <a:gd name="T4" fmla="*/ 0 w 13"/>
                    <a:gd name="T5" fmla="*/ 0 h 13"/>
                    <a:gd name="T6" fmla="*/ 0 w 13"/>
                    <a:gd name="T7" fmla="*/ 0 h 1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3">
                      <a:moveTo>
                        <a:pt x="13" y="0"/>
                      </a:moveTo>
                      <a:lnTo>
                        <a:pt x="4" y="4"/>
                      </a:lnTo>
                      <a:lnTo>
                        <a:pt x="0" y="13"/>
                      </a:lnTo>
                      <a:lnTo>
                        <a:pt x="1" y="13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4" name="Freeform 623"/>
                <xdr:cNvSpPr>
                  <a:spLocks noChangeAspect="1"/>
                </xdr:cNvSpPr>
              </xdr:nvSpPr>
              <xdr:spPr bwMode="auto">
                <a:xfrm>
                  <a:off x="1397" y="2473"/>
                  <a:ext cx="2" cy="2"/>
                </a:xfrm>
                <a:custGeom>
                  <a:avLst/>
                  <a:gdLst>
                    <a:gd name="T0" fmla="*/ 0 w 13"/>
                    <a:gd name="T1" fmla="*/ 0 h 12"/>
                    <a:gd name="T2" fmla="*/ 0 w 13"/>
                    <a:gd name="T3" fmla="*/ 0 h 12"/>
                    <a:gd name="T4" fmla="*/ 0 w 13"/>
                    <a:gd name="T5" fmla="*/ 0 h 12"/>
                    <a:gd name="T6" fmla="*/ 0 w 13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2">
                      <a:moveTo>
                        <a:pt x="0" y="12"/>
                      </a:moveTo>
                      <a:lnTo>
                        <a:pt x="8" y="8"/>
                      </a:lnTo>
                      <a:lnTo>
                        <a:pt x="12" y="0"/>
                      </a:lnTo>
                      <a:lnTo>
                        <a:pt x="13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5" name="Freeform 624"/>
                <xdr:cNvSpPr>
                  <a:spLocks noChangeAspect="1"/>
                </xdr:cNvSpPr>
              </xdr:nvSpPr>
              <xdr:spPr bwMode="auto">
                <a:xfrm>
                  <a:off x="1358" y="2473"/>
                  <a:ext cx="2" cy="2"/>
                </a:xfrm>
                <a:custGeom>
                  <a:avLst/>
                  <a:gdLst>
                    <a:gd name="T0" fmla="*/ 0 w 13"/>
                    <a:gd name="T1" fmla="*/ 0 h 12"/>
                    <a:gd name="T2" fmla="*/ 0 w 13"/>
                    <a:gd name="T3" fmla="*/ 0 h 12"/>
                    <a:gd name="T4" fmla="*/ 0 w 13"/>
                    <a:gd name="T5" fmla="*/ 0 h 12"/>
                    <a:gd name="T6" fmla="*/ 0 w 13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2">
                      <a:moveTo>
                        <a:pt x="0" y="0"/>
                      </a:moveTo>
                      <a:lnTo>
                        <a:pt x="3" y="8"/>
                      </a:lnTo>
                      <a:lnTo>
                        <a:pt x="12" y="12"/>
                      </a:lnTo>
                      <a:lnTo>
                        <a:pt x="13" y="1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6" name="Freeform 625"/>
                <xdr:cNvSpPr>
                  <a:spLocks noChangeAspect="1"/>
                </xdr:cNvSpPr>
              </xdr:nvSpPr>
              <xdr:spPr bwMode="auto">
                <a:xfrm>
                  <a:off x="1358" y="2467"/>
                  <a:ext cx="0" cy="6"/>
                </a:xfrm>
                <a:custGeom>
                  <a:avLst/>
                  <a:gdLst>
                    <a:gd name="T0" fmla="*/ 0 w 1"/>
                    <a:gd name="T1" fmla="*/ 0 h 48"/>
                    <a:gd name="T2" fmla="*/ 0 w 1"/>
                    <a:gd name="T3" fmla="*/ 1 h 48"/>
                    <a:gd name="T4" fmla="*/ 1 w 1"/>
                    <a:gd name="T5" fmla="*/ 1 h 48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48">
                      <a:moveTo>
                        <a:pt x="0" y="0"/>
                      </a:moveTo>
                      <a:lnTo>
                        <a:pt x="0" y="48"/>
                      </a:lnTo>
                      <a:lnTo>
                        <a:pt x="1" y="48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7" name="Freeform 626"/>
                <xdr:cNvSpPr>
                  <a:spLocks noChangeAspect="1"/>
                </xdr:cNvSpPr>
              </xdr:nvSpPr>
              <xdr:spPr bwMode="auto">
                <a:xfrm>
                  <a:off x="1362" y="2477"/>
                  <a:ext cx="1" cy="25"/>
                </a:xfrm>
                <a:custGeom>
                  <a:avLst/>
                  <a:gdLst>
                    <a:gd name="T0" fmla="*/ 0 w 1"/>
                    <a:gd name="T1" fmla="*/ 0 h 172"/>
                    <a:gd name="T2" fmla="*/ 0 w 1"/>
                    <a:gd name="T3" fmla="*/ 4 h 172"/>
                    <a:gd name="T4" fmla="*/ 1 w 1"/>
                    <a:gd name="T5" fmla="*/ 4 h 1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172">
                      <a:moveTo>
                        <a:pt x="0" y="0"/>
                      </a:moveTo>
                      <a:lnTo>
                        <a:pt x="0" y="172"/>
                      </a:lnTo>
                      <a:lnTo>
                        <a:pt x="1" y="1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" name="Freeform 627"/>
                <xdr:cNvSpPr>
                  <a:spLocks noChangeAspect="1"/>
                </xdr:cNvSpPr>
              </xdr:nvSpPr>
              <xdr:spPr bwMode="auto">
                <a:xfrm>
                  <a:off x="1361" y="2475"/>
                  <a:ext cx="1" cy="2"/>
                </a:xfrm>
                <a:custGeom>
                  <a:avLst/>
                  <a:gdLst>
                    <a:gd name="T0" fmla="*/ 0 w 13"/>
                    <a:gd name="T1" fmla="*/ 0 h 13"/>
                    <a:gd name="T2" fmla="*/ 0 w 13"/>
                    <a:gd name="T3" fmla="*/ 0 h 13"/>
                    <a:gd name="T4" fmla="*/ 0 w 13"/>
                    <a:gd name="T5" fmla="*/ 0 h 13"/>
                    <a:gd name="T6" fmla="*/ 0 w 13"/>
                    <a:gd name="T7" fmla="*/ 0 h 1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3">
                      <a:moveTo>
                        <a:pt x="13" y="13"/>
                      </a:moveTo>
                      <a:lnTo>
                        <a:pt x="8" y="4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" name="Freeform 628"/>
                <xdr:cNvSpPr>
                  <a:spLocks noChangeAspect="1"/>
                </xdr:cNvSpPr>
              </xdr:nvSpPr>
              <xdr:spPr bwMode="auto">
                <a:xfrm>
                  <a:off x="1360" y="2475"/>
                  <a:ext cx="37" cy="0"/>
                </a:xfrm>
                <a:custGeom>
                  <a:avLst/>
                  <a:gdLst>
                    <a:gd name="T0" fmla="*/ 5 w 300"/>
                    <a:gd name="T1" fmla="*/ 0 w 300"/>
                    <a:gd name="T2" fmla="*/ 0 w 300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300">
                      <a:moveTo>
                        <a:pt x="300" y="0"/>
                      </a:move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0" name="Freeform 629"/>
                <xdr:cNvSpPr>
                  <a:spLocks noChangeAspect="1"/>
                </xdr:cNvSpPr>
              </xdr:nvSpPr>
              <xdr:spPr bwMode="auto">
                <a:xfrm>
                  <a:off x="1362" y="2502"/>
                  <a:ext cx="5" cy="5"/>
                </a:xfrm>
                <a:custGeom>
                  <a:avLst/>
                  <a:gdLst>
                    <a:gd name="T0" fmla="*/ 0 w 39"/>
                    <a:gd name="T1" fmla="*/ 0 h 37"/>
                    <a:gd name="T2" fmla="*/ 0 w 39"/>
                    <a:gd name="T3" fmla="*/ 1 h 37"/>
                    <a:gd name="T4" fmla="*/ 1 w 39"/>
                    <a:gd name="T5" fmla="*/ 1 h 37"/>
                    <a:gd name="T6" fmla="*/ 1 w 39"/>
                    <a:gd name="T7" fmla="*/ 1 h 37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39" h="37">
                      <a:moveTo>
                        <a:pt x="0" y="0"/>
                      </a:moveTo>
                      <a:lnTo>
                        <a:pt x="10" y="27"/>
                      </a:lnTo>
                      <a:lnTo>
                        <a:pt x="37" y="37"/>
                      </a:lnTo>
                      <a:lnTo>
                        <a:pt x="39" y="37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1" name="Freeform 630"/>
                <xdr:cNvSpPr>
                  <a:spLocks noChangeAspect="1"/>
                </xdr:cNvSpPr>
              </xdr:nvSpPr>
              <xdr:spPr bwMode="auto">
                <a:xfrm>
                  <a:off x="1358" y="2465"/>
                  <a:ext cx="2" cy="2"/>
                </a:xfrm>
                <a:custGeom>
                  <a:avLst/>
                  <a:gdLst>
                    <a:gd name="T0" fmla="*/ 0 w 12"/>
                    <a:gd name="T1" fmla="*/ 0 h 12"/>
                    <a:gd name="T2" fmla="*/ 0 w 12"/>
                    <a:gd name="T3" fmla="*/ 0 h 12"/>
                    <a:gd name="T4" fmla="*/ 0 w 12"/>
                    <a:gd name="T5" fmla="*/ 0 h 12"/>
                    <a:gd name="T6" fmla="*/ 0 w 12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2" h="12">
                      <a:moveTo>
                        <a:pt x="12" y="0"/>
                      </a:moveTo>
                      <a:lnTo>
                        <a:pt x="3" y="3"/>
                      </a:lnTo>
                      <a:lnTo>
                        <a:pt x="0" y="12"/>
                      </a:lnTo>
                      <a:lnTo>
                        <a:pt x="1" y="1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2" name="Freeform 631"/>
                <xdr:cNvSpPr>
                  <a:spLocks noChangeAspect="1"/>
                </xdr:cNvSpPr>
              </xdr:nvSpPr>
              <xdr:spPr bwMode="auto">
                <a:xfrm>
                  <a:off x="1367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3" name="Freeform 632"/>
                <xdr:cNvSpPr>
                  <a:spLocks noChangeAspect="1"/>
                </xdr:cNvSpPr>
              </xdr:nvSpPr>
              <xdr:spPr bwMode="auto">
                <a:xfrm>
                  <a:off x="1364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4" name="Freeform 633"/>
                <xdr:cNvSpPr>
                  <a:spLocks noChangeAspect="1"/>
                </xdr:cNvSpPr>
              </xdr:nvSpPr>
              <xdr:spPr bwMode="auto">
                <a:xfrm>
                  <a:off x="1377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5" name="Freeform 634"/>
                <xdr:cNvSpPr>
                  <a:spLocks noChangeAspect="1"/>
                </xdr:cNvSpPr>
              </xdr:nvSpPr>
              <xdr:spPr bwMode="auto">
                <a:xfrm>
                  <a:off x="1380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6" name="Freeform 635"/>
                <xdr:cNvSpPr>
                  <a:spLocks noChangeAspect="1"/>
                </xdr:cNvSpPr>
              </xdr:nvSpPr>
              <xdr:spPr bwMode="auto">
                <a:xfrm>
                  <a:off x="1390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7" name="Freeform 636"/>
                <xdr:cNvSpPr>
                  <a:spLocks noChangeAspect="1"/>
                </xdr:cNvSpPr>
              </xdr:nvSpPr>
              <xdr:spPr bwMode="auto">
                <a:xfrm>
                  <a:off x="1393" y="2465"/>
                  <a:ext cx="0" cy="10"/>
                </a:xfrm>
                <a:custGeom>
                  <a:avLst/>
                  <a:gdLst>
                    <a:gd name="T0" fmla="*/ 0 w 2"/>
                    <a:gd name="T1" fmla="*/ 0 h 72"/>
                    <a:gd name="T2" fmla="*/ 0 w 2"/>
                    <a:gd name="T3" fmla="*/ 1 h 72"/>
                    <a:gd name="T4" fmla="*/ 1 w 2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2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2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8" name="Freeform 637"/>
                <xdr:cNvSpPr>
                  <a:spLocks noChangeAspect="1"/>
                </xdr:cNvSpPr>
              </xdr:nvSpPr>
              <xdr:spPr bwMode="auto">
                <a:xfrm>
                  <a:off x="1397" y="2465"/>
                  <a:ext cx="2" cy="2"/>
                </a:xfrm>
                <a:custGeom>
                  <a:avLst/>
                  <a:gdLst>
                    <a:gd name="T0" fmla="*/ 0 w 12"/>
                    <a:gd name="T1" fmla="*/ 0 h 12"/>
                    <a:gd name="T2" fmla="*/ 0 w 12"/>
                    <a:gd name="T3" fmla="*/ 0 h 12"/>
                    <a:gd name="T4" fmla="*/ 0 w 12"/>
                    <a:gd name="T5" fmla="*/ 0 h 12"/>
                    <a:gd name="T6" fmla="*/ 0 w 12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2" h="12">
                      <a:moveTo>
                        <a:pt x="12" y="12"/>
                      </a:moveTo>
                      <a:lnTo>
                        <a:pt x="8" y="3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sp macro="" textlink="">
            <xdr:nvSpPr>
              <xdr:cNvPr id="143" name="Freeform 638"/>
              <xdr:cNvSpPr>
                <a:spLocks noChangeAspect="1"/>
              </xdr:cNvSpPr>
            </xdr:nvSpPr>
            <xdr:spPr bwMode="auto">
              <a:xfrm>
                <a:off x="1368" y="2300"/>
                <a:ext cx="21" cy="0"/>
              </a:xfrm>
              <a:custGeom>
                <a:avLst/>
                <a:gdLst>
                  <a:gd name="T0" fmla="*/ 3 w 166"/>
                  <a:gd name="T1" fmla="*/ 0 w 166"/>
                  <a:gd name="T2" fmla="*/ 0 w 16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66">
                    <a:moveTo>
                      <a:pt x="16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4" name="Freeform 639"/>
              <xdr:cNvSpPr>
                <a:spLocks noChangeAspect="1"/>
              </xdr:cNvSpPr>
            </xdr:nvSpPr>
            <xdr:spPr bwMode="auto">
              <a:xfrm>
                <a:off x="1368" y="2306"/>
                <a:ext cx="21" cy="0"/>
              </a:xfrm>
              <a:custGeom>
                <a:avLst/>
                <a:gdLst>
                  <a:gd name="T0" fmla="*/ 3 w 166"/>
                  <a:gd name="T1" fmla="*/ 0 w 166"/>
                  <a:gd name="T2" fmla="*/ 0 w 16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66">
                    <a:moveTo>
                      <a:pt x="16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5" name="Freeform 640"/>
              <xdr:cNvSpPr>
                <a:spLocks noChangeAspect="1"/>
              </xdr:cNvSpPr>
            </xdr:nvSpPr>
            <xdr:spPr bwMode="auto">
              <a:xfrm>
                <a:off x="1368" y="2299"/>
                <a:ext cx="0" cy="9"/>
              </a:xfrm>
              <a:custGeom>
                <a:avLst/>
                <a:gdLst>
                  <a:gd name="T0" fmla="*/ 0 w 1"/>
                  <a:gd name="T1" fmla="*/ 1 h 63"/>
                  <a:gd name="T2" fmla="*/ 0 w 1"/>
                  <a:gd name="T3" fmla="*/ 0 h 63"/>
                  <a:gd name="T4" fmla="*/ 1 w 1"/>
                  <a:gd name="T5" fmla="*/ 0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6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6" name="Freeform 641"/>
              <xdr:cNvSpPr>
                <a:spLocks noChangeAspect="1"/>
              </xdr:cNvSpPr>
            </xdr:nvSpPr>
            <xdr:spPr bwMode="auto">
              <a:xfrm>
                <a:off x="1393" y="2316"/>
                <a:ext cx="0" cy="11"/>
              </a:xfrm>
              <a:custGeom>
                <a:avLst/>
                <a:gdLst>
                  <a:gd name="T0" fmla="*/ 0 w 2"/>
                  <a:gd name="T1" fmla="*/ 2 h 73"/>
                  <a:gd name="T2" fmla="*/ 0 w 2"/>
                  <a:gd name="T3" fmla="*/ 0 h 73"/>
                  <a:gd name="T4" fmla="*/ 1 w 2"/>
                  <a:gd name="T5" fmla="*/ 0 h 7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73">
                    <a:moveTo>
                      <a:pt x="0" y="73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7" name="Freeform 642"/>
              <xdr:cNvSpPr>
                <a:spLocks noChangeAspect="1"/>
              </xdr:cNvSpPr>
            </xdr:nvSpPr>
            <xdr:spPr bwMode="auto">
              <a:xfrm>
                <a:off x="1393" y="2370"/>
                <a:ext cx="2" cy="2"/>
              </a:xfrm>
              <a:custGeom>
                <a:avLst/>
                <a:gdLst>
                  <a:gd name="T0" fmla="*/ 0 w 14"/>
                  <a:gd name="T1" fmla="*/ 0 h 12"/>
                  <a:gd name="T2" fmla="*/ 0 w 14"/>
                  <a:gd name="T3" fmla="*/ 0 h 12"/>
                  <a:gd name="T4" fmla="*/ 0 w 14"/>
                  <a:gd name="T5" fmla="*/ 0 h 12"/>
                  <a:gd name="T6" fmla="*/ 0 w 14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" h="12">
                    <a:moveTo>
                      <a:pt x="0" y="12"/>
                    </a:moveTo>
                    <a:lnTo>
                      <a:pt x="10" y="9"/>
                    </a:lnTo>
                    <a:lnTo>
                      <a:pt x="13" y="0"/>
                    </a:lnTo>
                    <a:lnTo>
                      <a:pt x="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8" name="Freeform 643"/>
              <xdr:cNvSpPr>
                <a:spLocks noChangeAspect="1"/>
              </xdr:cNvSpPr>
            </xdr:nvSpPr>
            <xdr:spPr bwMode="auto">
              <a:xfrm>
                <a:off x="1393" y="2328"/>
                <a:ext cx="0" cy="8"/>
              </a:xfrm>
              <a:custGeom>
                <a:avLst/>
                <a:gdLst>
                  <a:gd name="T0" fmla="*/ 0 w 2"/>
                  <a:gd name="T1" fmla="*/ 1 h 53"/>
                  <a:gd name="T2" fmla="*/ 0 w 2"/>
                  <a:gd name="T3" fmla="*/ 0 h 53"/>
                  <a:gd name="T4" fmla="*/ 1 w 2"/>
                  <a:gd name="T5" fmla="*/ 0 h 5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53">
                    <a:moveTo>
                      <a:pt x="0" y="53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9" name="Freeform 644"/>
              <xdr:cNvSpPr>
                <a:spLocks noChangeAspect="1"/>
              </xdr:cNvSpPr>
            </xdr:nvSpPr>
            <xdr:spPr bwMode="auto">
              <a:xfrm>
                <a:off x="1393" y="2337"/>
                <a:ext cx="0" cy="13"/>
              </a:xfrm>
              <a:custGeom>
                <a:avLst/>
                <a:gdLst>
                  <a:gd name="T0" fmla="*/ 0 w 2"/>
                  <a:gd name="T1" fmla="*/ 2 h 92"/>
                  <a:gd name="T2" fmla="*/ 0 w 2"/>
                  <a:gd name="T3" fmla="*/ 0 h 92"/>
                  <a:gd name="T4" fmla="*/ 1 w 2"/>
                  <a:gd name="T5" fmla="*/ 0 h 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92">
                    <a:moveTo>
                      <a:pt x="0" y="92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0" name="Freeform 645"/>
              <xdr:cNvSpPr>
                <a:spLocks noChangeAspect="1"/>
              </xdr:cNvSpPr>
            </xdr:nvSpPr>
            <xdr:spPr bwMode="auto">
              <a:xfrm>
                <a:off x="1393" y="2352"/>
                <a:ext cx="0" cy="9"/>
              </a:xfrm>
              <a:custGeom>
                <a:avLst/>
                <a:gdLst>
                  <a:gd name="T0" fmla="*/ 0 w 2"/>
                  <a:gd name="T1" fmla="*/ 1 h 61"/>
                  <a:gd name="T2" fmla="*/ 0 w 2"/>
                  <a:gd name="T3" fmla="*/ 0 h 61"/>
                  <a:gd name="T4" fmla="*/ 1 w 2"/>
                  <a:gd name="T5" fmla="*/ 0 h 6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61">
                    <a:moveTo>
                      <a:pt x="0" y="61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1" name="Freeform 646"/>
              <xdr:cNvSpPr>
                <a:spLocks noChangeAspect="1"/>
              </xdr:cNvSpPr>
            </xdr:nvSpPr>
            <xdr:spPr bwMode="auto">
              <a:xfrm>
                <a:off x="1398" y="2325"/>
                <a:ext cx="0" cy="28"/>
              </a:xfrm>
              <a:custGeom>
                <a:avLst/>
                <a:gdLst>
                  <a:gd name="T0" fmla="*/ 0 w 1"/>
                  <a:gd name="T1" fmla="*/ 0 h 196"/>
                  <a:gd name="T2" fmla="*/ 0 w 1"/>
                  <a:gd name="T3" fmla="*/ 4 h 196"/>
                  <a:gd name="T4" fmla="*/ 1 w 1"/>
                  <a:gd name="T5" fmla="*/ 4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0"/>
                    </a:moveTo>
                    <a:lnTo>
                      <a:pt x="0" y="196"/>
                    </a:lnTo>
                    <a:lnTo>
                      <a:pt x="1" y="19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2" name="Freeform 647"/>
              <xdr:cNvSpPr>
                <a:spLocks noChangeAspect="1"/>
              </xdr:cNvSpPr>
            </xdr:nvSpPr>
            <xdr:spPr bwMode="auto">
              <a:xfrm>
                <a:off x="1395" y="2325"/>
                <a:ext cx="0" cy="28"/>
              </a:xfrm>
              <a:custGeom>
                <a:avLst/>
                <a:gdLst>
                  <a:gd name="T0" fmla="*/ 0 w 1"/>
                  <a:gd name="T1" fmla="*/ 4 h 196"/>
                  <a:gd name="T2" fmla="*/ 0 w 1"/>
                  <a:gd name="T3" fmla="*/ 0 h 196"/>
                  <a:gd name="T4" fmla="*/ 1 w 1"/>
                  <a:gd name="T5" fmla="*/ 0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19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3" name="Freeform 648"/>
              <xdr:cNvSpPr>
                <a:spLocks noChangeAspect="1"/>
              </xdr:cNvSpPr>
            </xdr:nvSpPr>
            <xdr:spPr bwMode="auto">
              <a:xfrm>
                <a:off x="1398" y="2325"/>
                <a:ext cx="0" cy="28"/>
              </a:xfrm>
              <a:custGeom>
                <a:avLst/>
                <a:gdLst>
                  <a:gd name="T0" fmla="*/ 0 w 1"/>
                  <a:gd name="T1" fmla="*/ 4 h 196"/>
                  <a:gd name="T2" fmla="*/ 0 w 1"/>
                  <a:gd name="T3" fmla="*/ 0 h 196"/>
                  <a:gd name="T4" fmla="*/ 1 w 1"/>
                  <a:gd name="T5" fmla="*/ 0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19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4" name="Freeform 649"/>
              <xdr:cNvSpPr>
                <a:spLocks noChangeAspect="1"/>
              </xdr:cNvSpPr>
            </xdr:nvSpPr>
            <xdr:spPr bwMode="auto">
              <a:xfrm>
                <a:off x="1400" y="2326"/>
                <a:ext cx="0" cy="27"/>
              </a:xfrm>
              <a:custGeom>
                <a:avLst/>
                <a:gdLst>
                  <a:gd name="T0" fmla="*/ 0 w 1"/>
                  <a:gd name="T1" fmla="*/ 0 h 192"/>
                  <a:gd name="T2" fmla="*/ 0 w 1"/>
                  <a:gd name="T3" fmla="*/ 4 h 192"/>
                  <a:gd name="T4" fmla="*/ 1 w 1"/>
                  <a:gd name="T5" fmla="*/ 4 h 1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2">
                    <a:moveTo>
                      <a:pt x="0" y="0"/>
                    </a:moveTo>
                    <a:lnTo>
                      <a:pt x="0" y="192"/>
                    </a:lnTo>
                    <a:lnTo>
                      <a:pt x="1" y="19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5" name="Freeform 650"/>
              <xdr:cNvSpPr>
                <a:spLocks noChangeAspect="1"/>
              </xdr:cNvSpPr>
            </xdr:nvSpPr>
            <xdr:spPr bwMode="auto">
              <a:xfrm>
                <a:off x="1395" y="2353"/>
                <a:ext cx="3" cy="0"/>
              </a:xfrm>
              <a:custGeom>
                <a:avLst/>
                <a:gdLst>
                  <a:gd name="T0" fmla="*/ 0 w 25"/>
                  <a:gd name="T1" fmla="*/ 0 w 25"/>
                  <a:gd name="T2" fmla="*/ 0 w 25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">
                    <a:moveTo>
                      <a:pt x="25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6" name="Freeform 651"/>
              <xdr:cNvSpPr>
                <a:spLocks noChangeAspect="1"/>
              </xdr:cNvSpPr>
            </xdr:nvSpPr>
            <xdr:spPr bwMode="auto">
              <a:xfrm>
                <a:off x="1398" y="2349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7" name="Freeform 652"/>
              <xdr:cNvSpPr>
                <a:spLocks noChangeAspect="1"/>
              </xdr:cNvSpPr>
            </xdr:nvSpPr>
            <xdr:spPr bwMode="auto">
              <a:xfrm>
                <a:off x="1395" y="2361"/>
                <a:ext cx="0" cy="9"/>
              </a:xfrm>
              <a:custGeom>
                <a:avLst/>
                <a:gdLst>
                  <a:gd name="T0" fmla="*/ 0 w 1"/>
                  <a:gd name="T1" fmla="*/ 0 h 66"/>
                  <a:gd name="T2" fmla="*/ 0 w 1"/>
                  <a:gd name="T3" fmla="*/ 1 h 66"/>
                  <a:gd name="T4" fmla="*/ 1 w 1"/>
                  <a:gd name="T5" fmla="*/ 1 h 6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6">
                    <a:moveTo>
                      <a:pt x="0" y="0"/>
                    </a:moveTo>
                    <a:lnTo>
                      <a:pt x="0" y="66"/>
                    </a:lnTo>
                    <a:lnTo>
                      <a:pt x="1" y="6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8" name="Freeform 653"/>
              <xdr:cNvSpPr>
                <a:spLocks noChangeAspect="1"/>
              </xdr:cNvSpPr>
            </xdr:nvSpPr>
            <xdr:spPr bwMode="auto">
              <a:xfrm>
                <a:off x="1395" y="2325"/>
                <a:ext cx="3" cy="0"/>
              </a:xfrm>
              <a:custGeom>
                <a:avLst/>
                <a:gdLst>
                  <a:gd name="T0" fmla="*/ 0 w 26"/>
                  <a:gd name="T1" fmla="*/ 0 w 26"/>
                  <a:gd name="T2" fmla="*/ 0 w 2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">
                    <a:moveTo>
                      <a:pt x="0" y="0"/>
                    </a:moveTo>
                    <a:lnTo>
                      <a:pt x="25" y="0"/>
                    </a:lnTo>
                    <a:lnTo>
                      <a:pt x="2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9" name="Freeform 654"/>
              <xdr:cNvSpPr>
                <a:spLocks noChangeAspect="1"/>
              </xdr:cNvSpPr>
            </xdr:nvSpPr>
            <xdr:spPr bwMode="auto">
              <a:xfrm>
                <a:off x="1398" y="2330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0" name="Freeform 655"/>
              <xdr:cNvSpPr>
                <a:spLocks noChangeAspect="1"/>
              </xdr:cNvSpPr>
            </xdr:nvSpPr>
            <xdr:spPr bwMode="auto">
              <a:xfrm>
                <a:off x="1370" y="2308"/>
                <a:ext cx="0" cy="6"/>
              </a:xfrm>
              <a:custGeom>
                <a:avLst/>
                <a:gdLst>
                  <a:gd name="T0" fmla="*/ 0 w 1"/>
                  <a:gd name="T1" fmla="*/ 1 h 44"/>
                  <a:gd name="T2" fmla="*/ 0 w 1"/>
                  <a:gd name="T3" fmla="*/ 0 h 44"/>
                  <a:gd name="T4" fmla="*/ 1 w 1"/>
                  <a:gd name="T5" fmla="*/ 0 h 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4">
                    <a:moveTo>
                      <a:pt x="0" y="4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1" name="Freeform 656"/>
              <xdr:cNvSpPr>
                <a:spLocks noChangeAspect="1"/>
              </xdr:cNvSpPr>
            </xdr:nvSpPr>
            <xdr:spPr bwMode="auto">
              <a:xfrm>
                <a:off x="1392" y="2314"/>
                <a:ext cx="1" cy="2"/>
              </a:xfrm>
              <a:custGeom>
                <a:avLst/>
                <a:gdLst>
                  <a:gd name="T0" fmla="*/ 0 w 11"/>
                  <a:gd name="T1" fmla="*/ 0 h 14"/>
                  <a:gd name="T2" fmla="*/ 0 w 11"/>
                  <a:gd name="T3" fmla="*/ 0 h 14"/>
                  <a:gd name="T4" fmla="*/ 0 w 11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4">
                    <a:moveTo>
                      <a:pt x="11" y="1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2" name="Freeform 657"/>
              <xdr:cNvSpPr>
                <a:spLocks noChangeAspect="1"/>
              </xdr:cNvSpPr>
            </xdr:nvSpPr>
            <xdr:spPr bwMode="auto">
              <a:xfrm>
                <a:off x="1387" y="2308"/>
                <a:ext cx="0" cy="6"/>
              </a:xfrm>
              <a:custGeom>
                <a:avLst/>
                <a:gdLst>
                  <a:gd name="T0" fmla="*/ 0 w 1"/>
                  <a:gd name="T1" fmla="*/ 1 h 44"/>
                  <a:gd name="T2" fmla="*/ 0 w 1"/>
                  <a:gd name="T3" fmla="*/ 0 h 44"/>
                  <a:gd name="T4" fmla="*/ 1 w 1"/>
                  <a:gd name="T5" fmla="*/ 0 h 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4">
                    <a:moveTo>
                      <a:pt x="0" y="4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3" name="Freeform 658"/>
              <xdr:cNvSpPr>
                <a:spLocks noChangeAspect="1"/>
              </xdr:cNvSpPr>
            </xdr:nvSpPr>
            <xdr:spPr bwMode="auto">
              <a:xfrm>
                <a:off x="1389" y="2299"/>
                <a:ext cx="0" cy="9"/>
              </a:xfrm>
              <a:custGeom>
                <a:avLst/>
                <a:gdLst>
                  <a:gd name="T0" fmla="*/ 0 w 1"/>
                  <a:gd name="T1" fmla="*/ 1 h 63"/>
                  <a:gd name="T2" fmla="*/ 0 w 1"/>
                  <a:gd name="T3" fmla="*/ 0 h 63"/>
                  <a:gd name="T4" fmla="*/ 1 w 1"/>
                  <a:gd name="T5" fmla="*/ 0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6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4" name="Freeform 659"/>
              <xdr:cNvSpPr>
                <a:spLocks noChangeAspect="1"/>
              </xdr:cNvSpPr>
            </xdr:nvSpPr>
            <xdr:spPr bwMode="auto">
              <a:xfrm>
                <a:off x="1364" y="2316"/>
                <a:ext cx="0" cy="11"/>
              </a:xfrm>
              <a:custGeom>
                <a:avLst/>
                <a:gdLst>
                  <a:gd name="T0" fmla="*/ 0 w 1"/>
                  <a:gd name="T1" fmla="*/ 2 h 73"/>
                  <a:gd name="T2" fmla="*/ 0 w 1"/>
                  <a:gd name="T3" fmla="*/ 0 h 73"/>
                  <a:gd name="T4" fmla="*/ 1 w 1"/>
                  <a:gd name="T5" fmla="*/ 0 h 7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73">
                    <a:moveTo>
                      <a:pt x="0" y="7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5" name="Freeform 660"/>
              <xdr:cNvSpPr>
                <a:spLocks noChangeAspect="1"/>
              </xdr:cNvSpPr>
            </xdr:nvSpPr>
            <xdr:spPr bwMode="auto">
              <a:xfrm>
                <a:off x="1364" y="2328"/>
                <a:ext cx="0" cy="8"/>
              </a:xfrm>
              <a:custGeom>
                <a:avLst/>
                <a:gdLst>
                  <a:gd name="T0" fmla="*/ 0 w 1"/>
                  <a:gd name="T1" fmla="*/ 1 h 53"/>
                  <a:gd name="T2" fmla="*/ 0 w 1"/>
                  <a:gd name="T3" fmla="*/ 0 h 53"/>
                  <a:gd name="T4" fmla="*/ 1 w 1"/>
                  <a:gd name="T5" fmla="*/ 0 h 5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3">
                    <a:moveTo>
                      <a:pt x="0" y="5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6" name="Freeform 661"/>
              <xdr:cNvSpPr>
                <a:spLocks noChangeAspect="1"/>
              </xdr:cNvSpPr>
            </xdr:nvSpPr>
            <xdr:spPr bwMode="auto">
              <a:xfrm>
                <a:off x="1364" y="2337"/>
                <a:ext cx="0" cy="13"/>
              </a:xfrm>
              <a:custGeom>
                <a:avLst/>
                <a:gdLst>
                  <a:gd name="T0" fmla="*/ 0 w 1"/>
                  <a:gd name="T1" fmla="*/ 2 h 92"/>
                  <a:gd name="T2" fmla="*/ 0 w 1"/>
                  <a:gd name="T3" fmla="*/ 0 h 92"/>
                  <a:gd name="T4" fmla="*/ 1 w 1"/>
                  <a:gd name="T5" fmla="*/ 0 h 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2">
                    <a:moveTo>
                      <a:pt x="0" y="9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7" name="Freeform 662"/>
              <xdr:cNvSpPr>
                <a:spLocks noChangeAspect="1"/>
              </xdr:cNvSpPr>
            </xdr:nvSpPr>
            <xdr:spPr bwMode="auto">
              <a:xfrm>
                <a:off x="1363" y="2336"/>
                <a:ext cx="0" cy="1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8" name="Freeform 663"/>
              <xdr:cNvSpPr>
                <a:spLocks noChangeAspect="1"/>
              </xdr:cNvSpPr>
            </xdr:nvSpPr>
            <xdr:spPr bwMode="auto">
              <a:xfrm>
                <a:off x="1364" y="2352"/>
                <a:ext cx="0" cy="9"/>
              </a:xfrm>
              <a:custGeom>
                <a:avLst/>
                <a:gdLst>
                  <a:gd name="T0" fmla="*/ 0 w 1"/>
                  <a:gd name="T1" fmla="*/ 1 h 61"/>
                  <a:gd name="T2" fmla="*/ 0 w 1"/>
                  <a:gd name="T3" fmla="*/ 0 h 61"/>
                  <a:gd name="T4" fmla="*/ 1 w 1"/>
                  <a:gd name="T5" fmla="*/ 0 h 6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1">
                    <a:moveTo>
                      <a:pt x="0" y="6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9" name="Freeform 664"/>
              <xdr:cNvSpPr>
                <a:spLocks noChangeAspect="1"/>
              </xdr:cNvSpPr>
            </xdr:nvSpPr>
            <xdr:spPr bwMode="auto">
              <a:xfrm>
                <a:off x="1362" y="2361"/>
                <a:ext cx="0" cy="9"/>
              </a:xfrm>
              <a:custGeom>
                <a:avLst/>
                <a:gdLst>
                  <a:gd name="T0" fmla="*/ 0 w 1"/>
                  <a:gd name="T1" fmla="*/ 0 h 66"/>
                  <a:gd name="T2" fmla="*/ 0 w 1"/>
                  <a:gd name="T3" fmla="*/ 1 h 66"/>
                  <a:gd name="T4" fmla="*/ 1 w 1"/>
                  <a:gd name="T5" fmla="*/ 1 h 6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6">
                    <a:moveTo>
                      <a:pt x="0" y="0"/>
                    </a:moveTo>
                    <a:lnTo>
                      <a:pt x="0" y="66"/>
                    </a:lnTo>
                    <a:lnTo>
                      <a:pt x="1" y="6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0" name="Freeform 665"/>
              <xdr:cNvSpPr>
                <a:spLocks noChangeAspect="1"/>
              </xdr:cNvSpPr>
            </xdr:nvSpPr>
            <xdr:spPr bwMode="auto">
              <a:xfrm>
                <a:off x="1362" y="2370"/>
                <a:ext cx="2" cy="2"/>
              </a:xfrm>
              <a:custGeom>
                <a:avLst/>
                <a:gdLst>
                  <a:gd name="T0" fmla="*/ 0 w 14"/>
                  <a:gd name="T1" fmla="*/ 0 h 12"/>
                  <a:gd name="T2" fmla="*/ 0 w 14"/>
                  <a:gd name="T3" fmla="*/ 0 h 12"/>
                  <a:gd name="T4" fmla="*/ 0 w 14"/>
                  <a:gd name="T5" fmla="*/ 0 h 12"/>
                  <a:gd name="T6" fmla="*/ 0 w 14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" h="12">
                    <a:moveTo>
                      <a:pt x="0" y="0"/>
                    </a:moveTo>
                    <a:lnTo>
                      <a:pt x="4" y="9"/>
                    </a:lnTo>
                    <a:lnTo>
                      <a:pt x="13" y="12"/>
                    </a:lnTo>
                    <a:lnTo>
                      <a:pt x="14" y="1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1" name="Freeform 666"/>
              <xdr:cNvSpPr>
                <a:spLocks noChangeAspect="1"/>
              </xdr:cNvSpPr>
            </xdr:nvSpPr>
            <xdr:spPr bwMode="auto">
              <a:xfrm>
                <a:off x="1363" y="2350"/>
                <a:ext cx="0" cy="2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2" name="Freeform 667"/>
              <xdr:cNvSpPr>
                <a:spLocks noChangeAspect="1"/>
              </xdr:cNvSpPr>
            </xdr:nvSpPr>
            <xdr:spPr bwMode="auto">
              <a:xfrm>
                <a:off x="1363" y="2327"/>
                <a:ext cx="0" cy="1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3" name="Freeform 668"/>
              <xdr:cNvSpPr>
                <a:spLocks noChangeAspect="1"/>
              </xdr:cNvSpPr>
            </xdr:nvSpPr>
            <xdr:spPr bwMode="auto">
              <a:xfrm>
                <a:off x="1364" y="2314"/>
                <a:ext cx="1" cy="2"/>
              </a:xfrm>
              <a:custGeom>
                <a:avLst/>
                <a:gdLst>
                  <a:gd name="T0" fmla="*/ 0 w 13"/>
                  <a:gd name="T1" fmla="*/ 0 h 14"/>
                  <a:gd name="T2" fmla="*/ 0 w 13"/>
                  <a:gd name="T3" fmla="*/ 0 h 14"/>
                  <a:gd name="T4" fmla="*/ 0 w 13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3" h="14">
                    <a:moveTo>
                      <a:pt x="0" y="14"/>
                    </a:moveTo>
                    <a:lnTo>
                      <a:pt x="12" y="0"/>
                    </a:lnTo>
                    <a:lnTo>
                      <a:pt x="1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4" name="Freeform 669"/>
              <xdr:cNvSpPr>
                <a:spLocks noChangeAspect="1"/>
              </xdr:cNvSpPr>
            </xdr:nvSpPr>
            <xdr:spPr bwMode="auto">
              <a:xfrm>
                <a:off x="1363" y="2336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5" name="Freeform 670"/>
              <xdr:cNvSpPr>
                <a:spLocks noChangeAspect="1"/>
              </xdr:cNvSpPr>
            </xdr:nvSpPr>
            <xdr:spPr bwMode="auto">
              <a:xfrm>
                <a:off x="1363" y="2337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6" name="Freeform 671"/>
              <xdr:cNvSpPr>
                <a:spLocks noChangeAspect="1"/>
              </xdr:cNvSpPr>
            </xdr:nvSpPr>
            <xdr:spPr bwMode="auto">
              <a:xfrm>
                <a:off x="1362" y="2361"/>
                <a:ext cx="33" cy="0"/>
              </a:xfrm>
              <a:custGeom>
                <a:avLst/>
                <a:gdLst>
                  <a:gd name="T0" fmla="*/ 0 w 264"/>
                  <a:gd name="T1" fmla="*/ 4 w 264"/>
                  <a:gd name="T2" fmla="*/ 4 w 26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4">
                    <a:moveTo>
                      <a:pt x="0" y="0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7" name="Freeform 672"/>
              <xdr:cNvSpPr>
                <a:spLocks noChangeAspect="1"/>
              </xdr:cNvSpPr>
            </xdr:nvSpPr>
            <xdr:spPr bwMode="auto">
              <a:xfrm>
                <a:off x="1363" y="2369"/>
                <a:ext cx="32" cy="3"/>
              </a:xfrm>
              <a:custGeom>
                <a:avLst/>
                <a:gdLst>
                  <a:gd name="T0" fmla="*/ 0 w 255"/>
                  <a:gd name="T1" fmla="*/ 1 h 17"/>
                  <a:gd name="T2" fmla="*/ 4 w 255"/>
                  <a:gd name="T3" fmla="*/ 0 h 17"/>
                  <a:gd name="T4" fmla="*/ 4 w 255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55" h="17">
                    <a:moveTo>
                      <a:pt x="0" y="17"/>
                    </a:moveTo>
                    <a:lnTo>
                      <a:pt x="254" y="0"/>
                    </a:lnTo>
                    <a:lnTo>
                      <a:pt x="25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8" name="Freeform 673"/>
              <xdr:cNvSpPr>
                <a:spLocks noChangeAspect="1"/>
              </xdr:cNvSpPr>
            </xdr:nvSpPr>
            <xdr:spPr bwMode="auto">
              <a:xfrm>
                <a:off x="1362" y="2367"/>
                <a:ext cx="33" cy="3"/>
              </a:xfrm>
              <a:custGeom>
                <a:avLst/>
                <a:gdLst>
                  <a:gd name="T0" fmla="*/ 0 w 264"/>
                  <a:gd name="T1" fmla="*/ 1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9" name="Freeform 674"/>
              <xdr:cNvSpPr>
                <a:spLocks noChangeAspect="1"/>
              </xdr:cNvSpPr>
            </xdr:nvSpPr>
            <xdr:spPr bwMode="auto">
              <a:xfrm>
                <a:off x="1362" y="2365"/>
                <a:ext cx="33" cy="2"/>
              </a:xfrm>
              <a:custGeom>
                <a:avLst/>
                <a:gdLst>
                  <a:gd name="T0" fmla="*/ 0 w 264"/>
                  <a:gd name="T1" fmla="*/ 0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0" name="Freeform 675"/>
              <xdr:cNvSpPr>
                <a:spLocks noChangeAspect="1"/>
              </xdr:cNvSpPr>
            </xdr:nvSpPr>
            <xdr:spPr bwMode="auto">
              <a:xfrm>
                <a:off x="1362" y="2363"/>
                <a:ext cx="33" cy="2"/>
              </a:xfrm>
              <a:custGeom>
                <a:avLst/>
                <a:gdLst>
                  <a:gd name="T0" fmla="*/ 0 w 264"/>
                  <a:gd name="T1" fmla="*/ 0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1" name="Freeform 676"/>
              <xdr:cNvSpPr>
                <a:spLocks noChangeAspect="1"/>
              </xdr:cNvSpPr>
            </xdr:nvSpPr>
            <xdr:spPr bwMode="auto">
              <a:xfrm>
                <a:off x="1363" y="2352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2" name="Freeform 677"/>
              <xdr:cNvSpPr>
                <a:spLocks noChangeAspect="1"/>
              </xdr:cNvSpPr>
            </xdr:nvSpPr>
            <xdr:spPr bwMode="auto">
              <a:xfrm>
                <a:off x="1363" y="2350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3" name="Freeform 678"/>
              <xdr:cNvSpPr>
                <a:spLocks noChangeAspect="1"/>
              </xdr:cNvSpPr>
            </xdr:nvSpPr>
            <xdr:spPr bwMode="auto">
              <a:xfrm>
                <a:off x="1363" y="2327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4" name="Freeform 679"/>
              <xdr:cNvSpPr>
                <a:spLocks noChangeAspect="1"/>
              </xdr:cNvSpPr>
            </xdr:nvSpPr>
            <xdr:spPr bwMode="auto">
              <a:xfrm>
                <a:off x="1363" y="2328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5" name="Freeform 680"/>
              <xdr:cNvSpPr>
                <a:spLocks noChangeAspect="1"/>
              </xdr:cNvSpPr>
            </xdr:nvSpPr>
            <xdr:spPr bwMode="auto">
              <a:xfrm>
                <a:off x="1364" y="2372"/>
                <a:ext cx="29" cy="0"/>
              </a:xfrm>
              <a:custGeom>
                <a:avLst/>
                <a:gdLst>
                  <a:gd name="T0" fmla="*/ 0 w 239"/>
                  <a:gd name="T1" fmla="*/ 4 w 239"/>
                  <a:gd name="T2" fmla="*/ 4 w 23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39">
                    <a:moveTo>
                      <a:pt x="0" y="0"/>
                    </a:moveTo>
                    <a:lnTo>
                      <a:pt x="237" y="0"/>
                    </a:lnTo>
                    <a:lnTo>
                      <a:pt x="23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6" name="Freeform 681"/>
              <xdr:cNvSpPr>
                <a:spLocks noChangeAspect="1"/>
              </xdr:cNvSpPr>
            </xdr:nvSpPr>
            <xdr:spPr bwMode="auto">
              <a:xfrm>
                <a:off x="1362" y="2361"/>
                <a:ext cx="31" cy="2"/>
              </a:xfrm>
              <a:custGeom>
                <a:avLst/>
                <a:gdLst>
                  <a:gd name="T0" fmla="*/ 0 w 250"/>
                  <a:gd name="T1" fmla="*/ 0 h 16"/>
                  <a:gd name="T2" fmla="*/ 4 w 250"/>
                  <a:gd name="T3" fmla="*/ 0 h 16"/>
                  <a:gd name="T4" fmla="*/ 4 w 250"/>
                  <a:gd name="T5" fmla="*/ 0 h 1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50" h="16">
                    <a:moveTo>
                      <a:pt x="0" y="16"/>
                    </a:moveTo>
                    <a:lnTo>
                      <a:pt x="249" y="0"/>
                    </a:lnTo>
                    <a:lnTo>
                      <a:pt x="25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7" name="Freeform 682"/>
              <xdr:cNvSpPr>
                <a:spLocks noChangeAspect="1"/>
              </xdr:cNvSpPr>
            </xdr:nvSpPr>
            <xdr:spPr bwMode="auto">
              <a:xfrm>
                <a:off x="1365" y="2314"/>
                <a:ext cx="27" cy="0"/>
              </a:xfrm>
              <a:custGeom>
                <a:avLst/>
                <a:gdLst>
                  <a:gd name="T0" fmla="*/ 3 w 214"/>
                  <a:gd name="T1" fmla="*/ 0 w 214"/>
                  <a:gd name="T2" fmla="*/ 0 w 21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14">
                    <a:moveTo>
                      <a:pt x="214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134" name="Freeform 683"/>
            <xdr:cNvSpPr>
              <a:spLocks noChangeAspect="1"/>
            </xdr:cNvSpPr>
          </xdr:nvSpPr>
          <xdr:spPr bwMode="auto">
            <a:xfrm>
              <a:off x="1110" y="1720"/>
              <a:ext cx="10" cy="26"/>
            </a:xfrm>
            <a:custGeom>
              <a:avLst/>
              <a:gdLst>
                <a:gd name="T0" fmla="*/ 10 w 10"/>
                <a:gd name="T1" fmla="*/ 0 h 26"/>
                <a:gd name="T2" fmla="*/ 6 w 10"/>
                <a:gd name="T3" fmla="*/ 26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0" h="26">
                  <a:moveTo>
                    <a:pt x="10" y="0"/>
                  </a:moveTo>
                  <a:cubicBezTo>
                    <a:pt x="0" y="7"/>
                    <a:pt x="6" y="15"/>
                    <a:pt x="6" y="26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5" name="Freeform 684"/>
            <xdr:cNvSpPr>
              <a:spLocks noChangeAspect="1"/>
            </xdr:cNvSpPr>
          </xdr:nvSpPr>
          <xdr:spPr bwMode="auto">
            <a:xfrm>
              <a:off x="1082" y="1974"/>
              <a:ext cx="16" cy="10"/>
            </a:xfrm>
            <a:custGeom>
              <a:avLst/>
              <a:gdLst>
                <a:gd name="T0" fmla="*/ 0 w 16"/>
                <a:gd name="T1" fmla="*/ 10 h 10"/>
                <a:gd name="T2" fmla="*/ 12 w 16"/>
                <a:gd name="T3" fmla="*/ 6 h 10"/>
                <a:gd name="T4" fmla="*/ 16 w 16"/>
                <a:gd name="T5" fmla="*/ 0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6" h="10">
                  <a:moveTo>
                    <a:pt x="0" y="10"/>
                  </a:moveTo>
                  <a:cubicBezTo>
                    <a:pt x="4" y="9"/>
                    <a:pt x="10" y="10"/>
                    <a:pt x="12" y="6"/>
                  </a:cubicBezTo>
                  <a:cubicBezTo>
                    <a:pt x="13" y="4"/>
                    <a:pt x="16" y="0"/>
                    <a:pt x="16" y="0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6" name="Freeform 685"/>
            <xdr:cNvSpPr>
              <a:spLocks noChangeAspect="1"/>
            </xdr:cNvSpPr>
          </xdr:nvSpPr>
          <xdr:spPr bwMode="auto">
            <a:xfrm>
              <a:off x="1144" y="2878"/>
              <a:ext cx="2" cy="20"/>
            </a:xfrm>
            <a:custGeom>
              <a:avLst/>
              <a:gdLst>
                <a:gd name="T0" fmla="*/ 0 w 2"/>
                <a:gd name="T1" fmla="*/ 0 h 20"/>
                <a:gd name="T2" fmla="*/ 2 w 2"/>
                <a:gd name="T3" fmla="*/ 20 h 20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2" h="20">
                  <a:moveTo>
                    <a:pt x="0" y="0"/>
                  </a:moveTo>
                  <a:cubicBezTo>
                    <a:pt x="2" y="17"/>
                    <a:pt x="2" y="11"/>
                    <a:pt x="2" y="20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7" name="Freeform 686"/>
            <xdr:cNvSpPr>
              <a:spLocks noChangeAspect="1"/>
            </xdr:cNvSpPr>
          </xdr:nvSpPr>
          <xdr:spPr bwMode="auto">
            <a:xfrm>
              <a:off x="1710" y="3188"/>
              <a:ext cx="8" cy="26"/>
            </a:xfrm>
            <a:custGeom>
              <a:avLst/>
              <a:gdLst>
                <a:gd name="T0" fmla="*/ 0 w 8"/>
                <a:gd name="T1" fmla="*/ 26 h 26"/>
                <a:gd name="T2" fmla="*/ 8 w 8"/>
                <a:gd name="T3" fmla="*/ 0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8" h="26">
                  <a:moveTo>
                    <a:pt x="0" y="26"/>
                  </a:moveTo>
                  <a:cubicBezTo>
                    <a:pt x="2" y="19"/>
                    <a:pt x="8" y="8"/>
                    <a:pt x="8" y="0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8" name="Freeform 687"/>
            <xdr:cNvSpPr>
              <a:spLocks noChangeAspect="1"/>
            </xdr:cNvSpPr>
          </xdr:nvSpPr>
          <xdr:spPr bwMode="auto">
            <a:xfrm>
              <a:off x="3392" y="3026"/>
              <a:ext cx="8" cy="26"/>
            </a:xfrm>
            <a:custGeom>
              <a:avLst/>
              <a:gdLst>
                <a:gd name="T0" fmla="*/ 0 w 8"/>
                <a:gd name="T1" fmla="*/ 26 h 26"/>
                <a:gd name="T2" fmla="*/ 8 w 8"/>
                <a:gd name="T3" fmla="*/ 0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8" h="26">
                  <a:moveTo>
                    <a:pt x="0" y="26"/>
                  </a:moveTo>
                  <a:cubicBezTo>
                    <a:pt x="8" y="18"/>
                    <a:pt x="8" y="13"/>
                    <a:pt x="8" y="0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9" name="Freeform 688"/>
            <xdr:cNvSpPr>
              <a:spLocks noChangeAspect="1"/>
            </xdr:cNvSpPr>
          </xdr:nvSpPr>
          <xdr:spPr bwMode="auto">
            <a:xfrm>
              <a:off x="3548" y="2880"/>
              <a:ext cx="4" cy="34"/>
            </a:xfrm>
            <a:custGeom>
              <a:avLst/>
              <a:gdLst>
                <a:gd name="T0" fmla="*/ 0 w 4"/>
                <a:gd name="T1" fmla="*/ 34 h 34"/>
                <a:gd name="T2" fmla="*/ 4 w 4"/>
                <a:gd name="T3" fmla="*/ 0 h 34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4" h="34">
                  <a:moveTo>
                    <a:pt x="0" y="34"/>
                  </a:moveTo>
                  <a:cubicBezTo>
                    <a:pt x="4" y="23"/>
                    <a:pt x="4" y="0"/>
                    <a:pt x="4" y="0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40" name="Freeform 689"/>
            <xdr:cNvSpPr>
              <a:spLocks noChangeAspect="1"/>
            </xdr:cNvSpPr>
          </xdr:nvSpPr>
          <xdr:spPr bwMode="auto">
            <a:xfrm>
              <a:off x="3594" y="1969"/>
              <a:ext cx="24" cy="29"/>
            </a:xfrm>
            <a:custGeom>
              <a:avLst/>
              <a:gdLst>
                <a:gd name="T0" fmla="*/ 0 w 24"/>
                <a:gd name="T1" fmla="*/ 3 h 29"/>
                <a:gd name="T2" fmla="*/ 16 w 24"/>
                <a:gd name="T3" fmla="*/ 29 h 2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24" h="29">
                  <a:moveTo>
                    <a:pt x="0" y="3"/>
                  </a:moveTo>
                  <a:cubicBezTo>
                    <a:pt x="24" y="6"/>
                    <a:pt x="16" y="0"/>
                    <a:pt x="16" y="29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41" name="Freeform 690"/>
            <xdr:cNvSpPr>
              <a:spLocks noChangeAspect="1"/>
            </xdr:cNvSpPr>
          </xdr:nvSpPr>
          <xdr:spPr bwMode="auto">
            <a:xfrm>
              <a:off x="3580" y="1730"/>
              <a:ext cx="4" cy="26"/>
            </a:xfrm>
            <a:custGeom>
              <a:avLst/>
              <a:gdLst>
                <a:gd name="T0" fmla="*/ 0 w 4"/>
                <a:gd name="T1" fmla="*/ 0 h 26"/>
                <a:gd name="T2" fmla="*/ 2 w 4"/>
                <a:gd name="T3" fmla="*/ 26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4" h="26">
                  <a:moveTo>
                    <a:pt x="0" y="0"/>
                  </a:moveTo>
                  <a:cubicBezTo>
                    <a:pt x="4" y="12"/>
                    <a:pt x="2" y="4"/>
                    <a:pt x="2" y="26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31" name="Text Box 691"/>
          <xdr:cNvSpPr txBox="1">
            <a:spLocks noChangeArrowheads="1"/>
          </xdr:cNvSpPr>
        </xdr:nvSpPr>
        <xdr:spPr bwMode="auto">
          <a:xfrm>
            <a:off x="839" y="109"/>
            <a:ext cx="160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Wassermenge für den</a:t>
            </a:r>
          </a:p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zu behandelnden Schlag</a:t>
            </a:r>
          </a:p>
        </xdr:txBody>
      </xdr:sp>
    </xdr:grpSp>
    <xdr:clientData/>
  </xdr:twoCellAnchor>
  <xdr:twoCellAnchor editAs="oneCell">
    <xdr:from>
      <xdr:col>7</xdr:col>
      <xdr:colOff>404812</xdr:colOff>
      <xdr:row>12</xdr:row>
      <xdr:rowOff>178594</xdr:rowOff>
    </xdr:from>
    <xdr:to>
      <xdr:col>12</xdr:col>
      <xdr:colOff>447215</xdr:colOff>
      <xdr:row>18</xdr:row>
      <xdr:rowOff>8271</xdr:rowOff>
    </xdr:to>
    <xdr:pic>
      <xdr:nvPicPr>
        <xdr:cNvPr id="392" name="Grafik 391"/>
        <xdr:cNvPicPr>
          <a:picLocks noChangeAspect="1"/>
        </xdr:cNvPicPr>
      </xdr:nvPicPr>
      <xdr:blipFill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5281" y="3024188"/>
          <a:ext cx="2304590" cy="125842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31</xdr:row>
      <xdr:rowOff>214840</xdr:rowOff>
    </xdr:from>
    <xdr:to>
      <xdr:col>20</xdr:col>
      <xdr:colOff>3591</xdr:colOff>
      <xdr:row>34</xdr:row>
      <xdr:rowOff>109688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83343" y="7394309"/>
          <a:ext cx="13112373" cy="573504"/>
        </a:xfrm>
        <a:prstGeom prst="foldedCorner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</a:r>
        </a:p>
      </xdr:txBody>
    </xdr:sp>
    <xdr:clientData/>
  </xdr:twoCellAnchor>
  <xdr:twoCellAnchor editAs="oneCell">
    <xdr:from>
      <xdr:col>0</xdr:col>
      <xdr:colOff>142875</xdr:colOff>
      <xdr:row>26</xdr:row>
      <xdr:rowOff>171714</xdr:rowOff>
    </xdr:from>
    <xdr:to>
      <xdr:col>5</xdr:col>
      <xdr:colOff>81350</xdr:colOff>
      <xdr:row>31</xdr:row>
      <xdr:rowOff>140465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220089"/>
          <a:ext cx="4843850" cy="1099845"/>
        </a:xfrm>
        <a:prstGeom prst="rect">
          <a:avLst/>
        </a:prstGeom>
      </xdr:spPr>
    </xdr:pic>
    <xdr:clientData/>
  </xdr:twoCellAnchor>
  <xdr:twoCellAnchor editAs="oneCell">
    <xdr:from>
      <xdr:col>6</xdr:col>
      <xdr:colOff>52654</xdr:colOff>
      <xdr:row>26</xdr:row>
      <xdr:rowOff>66675</xdr:rowOff>
    </xdr:from>
    <xdr:to>
      <xdr:col>12</xdr:col>
      <xdr:colOff>77467</xdr:colOff>
      <xdr:row>31</xdr:row>
      <xdr:rowOff>127989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8185" y="6115050"/>
          <a:ext cx="4834938" cy="119240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105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105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105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6582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47625</xdr:colOff>
      <xdr:row>0</xdr:row>
      <xdr:rowOff>28575</xdr:rowOff>
    </xdr:from>
    <xdr:to>
      <xdr:col>0</xdr:col>
      <xdr:colOff>1562100</xdr:colOff>
      <xdr:row>1</xdr:row>
      <xdr:rowOff>200025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47625" y="28575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120188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120188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120188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66775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11906</xdr:colOff>
      <xdr:row>15</xdr:row>
      <xdr:rowOff>95249</xdr:rowOff>
    </xdr:from>
    <xdr:to>
      <xdr:col>3</xdr:col>
      <xdr:colOff>785812</xdr:colOff>
      <xdr:row>19</xdr:row>
      <xdr:rowOff>214311</xdr:rowOff>
    </xdr:to>
    <xdr:sp macro="" textlink="">
      <xdr:nvSpPr>
        <xdr:cNvPr id="14" name="Rahmen 13"/>
        <xdr:cNvSpPr/>
      </xdr:nvSpPr>
      <xdr:spPr>
        <a:xfrm>
          <a:off x="11906" y="3655218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</xdr:colOff>
      <xdr:row>0</xdr:row>
      <xdr:rowOff>95250</xdr:rowOff>
    </xdr:from>
    <xdr:to>
      <xdr:col>13</xdr:col>
      <xdr:colOff>142875</xdr:colOff>
      <xdr:row>2</xdr:row>
      <xdr:rowOff>166687</xdr:rowOff>
    </xdr:to>
    <xdr:sp macro="" textlink="">
      <xdr:nvSpPr>
        <xdr:cNvPr id="15" name="Rahmen 14"/>
        <xdr:cNvSpPr/>
      </xdr:nvSpPr>
      <xdr:spPr>
        <a:xfrm>
          <a:off x="4941093" y="95250"/>
          <a:ext cx="6619876" cy="535781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Randdüsen Lechler (nicht ISO) - gleiche Farbe/Größe wie im Gestänge</a:t>
          </a:r>
        </a:p>
      </xdr:txBody>
    </xdr:sp>
    <xdr:clientData/>
  </xdr:twoCellAnchor>
  <xdr:twoCellAnchor>
    <xdr:from>
      <xdr:col>4</xdr:col>
      <xdr:colOff>750092</xdr:colOff>
      <xdr:row>14</xdr:row>
      <xdr:rowOff>95251</xdr:rowOff>
    </xdr:from>
    <xdr:to>
      <xdr:col>14</xdr:col>
      <xdr:colOff>428625</xdr:colOff>
      <xdr:row>16</xdr:row>
      <xdr:rowOff>166688</xdr:rowOff>
    </xdr:to>
    <xdr:sp macro="" textlink="">
      <xdr:nvSpPr>
        <xdr:cNvPr id="16" name="Rahmen 15"/>
        <xdr:cNvSpPr/>
      </xdr:nvSpPr>
      <xdr:spPr>
        <a:xfrm>
          <a:off x="4893467" y="3417095"/>
          <a:ext cx="7405689" cy="535781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Randdüsen andere (ISO) - Randdüse ist eine Größe kleiner als Düsen im Gestänge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</xdr:colOff>
      <xdr:row>25</xdr:row>
      <xdr:rowOff>114306</xdr:rowOff>
    </xdr:from>
    <xdr:to>
      <xdr:col>19</xdr:col>
      <xdr:colOff>396497</xdr:colOff>
      <xdr:row>33</xdr:row>
      <xdr:rowOff>157319</xdr:rowOff>
    </xdr:to>
    <xdr:grpSp>
      <xdr:nvGrpSpPr>
        <xdr:cNvPr id="14" name="Gruppieren 13"/>
        <xdr:cNvGrpSpPr/>
      </xdr:nvGrpSpPr>
      <xdr:grpSpPr>
        <a:xfrm>
          <a:off x="23812" y="5936462"/>
          <a:ext cx="14505404" cy="1852763"/>
          <a:chOff x="83343" y="4579150"/>
          <a:chExt cx="14505404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83343" y="5858409"/>
            <a:ext cx="14505404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2875" y="4684189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08185" y="4579150"/>
            <a:ext cx="4834938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9537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9537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9537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5060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47625</xdr:colOff>
      <xdr:row>0</xdr:row>
      <xdr:rowOff>28575</xdr:rowOff>
    </xdr:from>
    <xdr:to>
      <xdr:col>0</xdr:col>
      <xdr:colOff>1562100</xdr:colOff>
      <xdr:row>1</xdr:row>
      <xdr:rowOff>200025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47625" y="28575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95375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95375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95375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50607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15</xdr:row>
      <xdr:rowOff>166686</xdr:rowOff>
    </xdr:from>
    <xdr:to>
      <xdr:col>3</xdr:col>
      <xdr:colOff>773906</xdr:colOff>
      <xdr:row>20</xdr:row>
      <xdr:rowOff>95248</xdr:rowOff>
    </xdr:to>
    <xdr:sp macro="" textlink="">
      <xdr:nvSpPr>
        <xdr:cNvPr id="15" name="Rahmen 14"/>
        <xdr:cNvSpPr/>
      </xdr:nvSpPr>
      <xdr:spPr>
        <a:xfrm>
          <a:off x="0" y="3726655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202406</xdr:colOff>
      <xdr:row>0</xdr:row>
      <xdr:rowOff>47624</xdr:rowOff>
    </xdr:from>
    <xdr:to>
      <xdr:col>8</xdr:col>
      <xdr:colOff>357188</xdr:colOff>
      <xdr:row>2</xdr:row>
      <xdr:rowOff>202405</xdr:rowOff>
    </xdr:to>
    <xdr:sp macro="" textlink="">
      <xdr:nvSpPr>
        <xdr:cNvPr id="16" name="Rahmen 15"/>
        <xdr:cNvSpPr/>
      </xdr:nvSpPr>
      <xdr:spPr>
        <a:xfrm>
          <a:off x="4345781" y="47624"/>
          <a:ext cx="5167313" cy="619125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Mischbestückung mit 6 x Flachstrahldüse hinter der Spritze bei Doppelflachstrahldüsen wenn es zum anspritzen</a:t>
          </a:r>
          <a:r>
            <a:rPr lang="de-DE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kommt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185737</xdr:rowOff>
    </xdr:from>
    <xdr:to>
      <xdr:col>19</xdr:col>
      <xdr:colOff>372686</xdr:colOff>
      <xdr:row>33</xdr:row>
      <xdr:rowOff>2532</xdr:rowOff>
    </xdr:to>
    <xdr:grpSp>
      <xdr:nvGrpSpPr>
        <xdr:cNvPr id="11" name="Gruppieren 10"/>
        <xdr:cNvGrpSpPr/>
      </xdr:nvGrpSpPr>
      <xdr:grpSpPr>
        <a:xfrm>
          <a:off x="0" y="5781675"/>
          <a:ext cx="13279061" cy="1852763"/>
          <a:chOff x="95250" y="3579019"/>
          <a:chExt cx="13279061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279061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5413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439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4</xdr:col>
      <xdr:colOff>11906</xdr:colOff>
      <xdr:row>0</xdr:row>
      <xdr:rowOff>23813</xdr:rowOff>
    </xdr:from>
    <xdr:to>
      <xdr:col>6</xdr:col>
      <xdr:colOff>1285875</xdr:colOff>
      <xdr:row>3</xdr:row>
      <xdr:rowOff>178594</xdr:rowOff>
    </xdr:to>
    <xdr:sp macro="" textlink="">
      <xdr:nvSpPr>
        <xdr:cNvPr id="10" name="Rahmen 9"/>
        <xdr:cNvSpPr/>
      </xdr:nvSpPr>
      <xdr:spPr>
        <a:xfrm>
          <a:off x="4155281" y="23813"/>
          <a:ext cx="3286125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KURZE Injektor-Flachstrahldüsen</a:t>
          </a:r>
          <a:b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2,0 bis 3,0 bar</a:t>
          </a:r>
        </a:p>
      </xdr:txBody>
    </xdr:sp>
    <xdr:clientData/>
  </xdr:twoCellAnchor>
  <xdr:twoCellAnchor>
    <xdr:from>
      <xdr:col>0</xdr:col>
      <xdr:colOff>35719</xdr:colOff>
      <xdr:row>15</xdr:row>
      <xdr:rowOff>83343</xdr:rowOff>
    </xdr:from>
    <xdr:to>
      <xdr:col>3</xdr:col>
      <xdr:colOff>809625</xdr:colOff>
      <xdr:row>20</xdr:row>
      <xdr:rowOff>11905</xdr:rowOff>
    </xdr:to>
    <xdr:sp macro="" textlink="">
      <xdr:nvSpPr>
        <xdr:cNvPr id="12" name="Rahmen 11"/>
        <xdr:cNvSpPr/>
      </xdr:nvSpPr>
      <xdr:spPr>
        <a:xfrm>
          <a:off x="35719" y="3643312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25</xdr:row>
      <xdr:rowOff>128588</xdr:rowOff>
    </xdr:from>
    <xdr:to>
      <xdr:col>19</xdr:col>
      <xdr:colOff>384591</xdr:colOff>
      <xdr:row>33</xdr:row>
      <xdr:rowOff>133501</xdr:rowOff>
    </xdr:to>
    <xdr:grpSp>
      <xdr:nvGrpSpPr>
        <xdr:cNvPr id="7" name="Gruppieren 6"/>
        <xdr:cNvGrpSpPr/>
      </xdr:nvGrpSpPr>
      <xdr:grpSpPr>
        <a:xfrm>
          <a:off x="11906" y="5950744"/>
          <a:ext cx="12778998" cy="1814663"/>
          <a:chOff x="95250" y="3617119"/>
          <a:chExt cx="12778998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2778998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36171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439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6" name="Rahmen 5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47624</xdr:rowOff>
    </xdr:from>
    <xdr:to>
      <xdr:col>3</xdr:col>
      <xdr:colOff>773906</xdr:colOff>
      <xdr:row>19</xdr:row>
      <xdr:rowOff>202405</xdr:rowOff>
    </xdr:to>
    <xdr:sp macro="" textlink="">
      <xdr:nvSpPr>
        <xdr:cNvPr id="8" name="Rahmen 7"/>
        <xdr:cNvSpPr/>
      </xdr:nvSpPr>
      <xdr:spPr>
        <a:xfrm>
          <a:off x="0" y="3607593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23812</xdr:colOff>
      <xdr:row>0</xdr:row>
      <xdr:rowOff>0</xdr:rowOff>
    </xdr:from>
    <xdr:to>
      <xdr:col>6</xdr:col>
      <xdr:colOff>1202532</xdr:colOff>
      <xdr:row>3</xdr:row>
      <xdr:rowOff>190500</xdr:rowOff>
    </xdr:to>
    <xdr:sp macro="" textlink="">
      <xdr:nvSpPr>
        <xdr:cNvPr id="9" name="Rahmen 8"/>
        <xdr:cNvSpPr/>
      </xdr:nvSpPr>
      <xdr:spPr>
        <a:xfrm>
          <a:off x="4167187" y="0"/>
          <a:ext cx="3190876" cy="89296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Düsen </a:t>
          </a: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25 cm Düsenabstand im Gestänge und 40 cm Abstand zur Zielfläche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25</xdr:row>
      <xdr:rowOff>114300</xdr:rowOff>
    </xdr:from>
    <xdr:to>
      <xdr:col>19</xdr:col>
      <xdr:colOff>396499</xdr:colOff>
      <xdr:row>33</xdr:row>
      <xdr:rowOff>157313</xdr:rowOff>
    </xdr:to>
    <xdr:grpSp>
      <xdr:nvGrpSpPr>
        <xdr:cNvPr id="10" name="Gruppieren 9"/>
        <xdr:cNvGrpSpPr/>
      </xdr:nvGrpSpPr>
      <xdr:grpSpPr>
        <a:xfrm>
          <a:off x="23813" y="5936456"/>
          <a:ext cx="13279061" cy="1852763"/>
          <a:chOff x="95250" y="3579019"/>
          <a:chExt cx="13279061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279061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5413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296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73138</xdr:rowOff>
    </xdr:from>
    <xdr:to>
      <xdr:col>3</xdr:col>
      <xdr:colOff>763701</xdr:colOff>
      <xdr:row>19</xdr:row>
      <xdr:rowOff>207508</xdr:rowOff>
    </xdr:to>
    <xdr:sp macro="" textlink="">
      <xdr:nvSpPr>
        <xdr:cNvPr id="11" name="Rahmen 10"/>
        <xdr:cNvSpPr/>
      </xdr:nvSpPr>
      <xdr:spPr>
        <a:xfrm>
          <a:off x="0" y="3633107"/>
          <a:ext cx="4073639" cy="1039245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130969</xdr:colOff>
      <xdr:row>0</xdr:row>
      <xdr:rowOff>35718</xdr:rowOff>
    </xdr:from>
    <xdr:to>
      <xdr:col>6</xdr:col>
      <xdr:colOff>1037546</xdr:colOff>
      <xdr:row>3</xdr:row>
      <xdr:rowOff>207508</xdr:rowOff>
    </xdr:to>
    <xdr:sp macro="" textlink="">
      <xdr:nvSpPr>
        <xdr:cNvPr id="12" name="Rahmen 11"/>
        <xdr:cNvSpPr/>
      </xdr:nvSpPr>
      <xdr:spPr>
        <a:xfrm>
          <a:off x="4274344" y="35718"/>
          <a:ext cx="2918733" cy="87425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Düsen </a:t>
          </a: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25 cm Düsenabstand im Gestänge und 40 cm Abstand zur Zielfläche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25</xdr:row>
      <xdr:rowOff>78581</xdr:rowOff>
    </xdr:from>
    <xdr:to>
      <xdr:col>19</xdr:col>
      <xdr:colOff>384592</xdr:colOff>
      <xdr:row>33</xdr:row>
      <xdr:rowOff>121594</xdr:rowOff>
    </xdr:to>
    <xdr:grpSp>
      <xdr:nvGrpSpPr>
        <xdr:cNvPr id="22" name="Gruppieren 21"/>
        <xdr:cNvGrpSpPr/>
      </xdr:nvGrpSpPr>
      <xdr:grpSpPr>
        <a:xfrm>
          <a:off x="11906" y="5900737"/>
          <a:ext cx="13362405" cy="1852763"/>
          <a:chOff x="95250" y="3579019"/>
          <a:chExt cx="13279061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279061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1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1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1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1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1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10</xdr:row>
      <xdr:rowOff>0</xdr:rowOff>
    </xdr:from>
    <xdr:ext cx="304800" cy="304800"/>
    <xdr:sp macro="" textlink="">
      <xdr:nvSpPr>
        <xdr:cNvPr id="1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11</xdr:row>
      <xdr:rowOff>0</xdr:rowOff>
    </xdr:from>
    <xdr:ext cx="304800" cy="304800"/>
    <xdr:sp macro="" textlink="">
      <xdr:nvSpPr>
        <xdr:cNvPr id="2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15</xdr:row>
      <xdr:rowOff>47624</xdr:rowOff>
    </xdr:from>
    <xdr:to>
      <xdr:col>3</xdr:col>
      <xdr:colOff>773906</xdr:colOff>
      <xdr:row>19</xdr:row>
      <xdr:rowOff>202405</xdr:rowOff>
    </xdr:to>
    <xdr:sp macro="" textlink="">
      <xdr:nvSpPr>
        <xdr:cNvPr id="23" name="Rahmen 22"/>
        <xdr:cNvSpPr/>
      </xdr:nvSpPr>
      <xdr:spPr>
        <a:xfrm>
          <a:off x="0" y="3607593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59529</xdr:colOff>
      <xdr:row>0</xdr:row>
      <xdr:rowOff>0</xdr:rowOff>
    </xdr:from>
    <xdr:to>
      <xdr:col>6</xdr:col>
      <xdr:colOff>1333498</xdr:colOff>
      <xdr:row>3</xdr:row>
      <xdr:rowOff>154781</xdr:rowOff>
    </xdr:to>
    <xdr:sp macro="" textlink="">
      <xdr:nvSpPr>
        <xdr:cNvPr id="24" name="Rahmen 23"/>
        <xdr:cNvSpPr/>
      </xdr:nvSpPr>
      <xdr:spPr>
        <a:xfrm>
          <a:off x="4202904" y="0"/>
          <a:ext cx="3286125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LANGE Injektor-Flachstrahldüsen</a:t>
          </a:r>
          <a:b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3,0 bis 5,0 bar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25</xdr:row>
      <xdr:rowOff>90486</xdr:rowOff>
    </xdr:from>
    <xdr:to>
      <xdr:col>19</xdr:col>
      <xdr:colOff>420312</xdr:colOff>
      <xdr:row>33</xdr:row>
      <xdr:rowOff>133499</xdr:rowOff>
    </xdr:to>
    <xdr:grpSp>
      <xdr:nvGrpSpPr>
        <xdr:cNvPr id="10" name="Gruppieren 9"/>
        <xdr:cNvGrpSpPr/>
      </xdr:nvGrpSpPr>
      <xdr:grpSpPr>
        <a:xfrm>
          <a:off x="47626" y="5912642"/>
          <a:ext cx="13707686" cy="1852763"/>
          <a:chOff x="95250" y="3579019"/>
          <a:chExt cx="13707686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707686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59530</xdr:rowOff>
    </xdr:from>
    <xdr:to>
      <xdr:col>3</xdr:col>
      <xdr:colOff>773906</xdr:colOff>
      <xdr:row>19</xdr:row>
      <xdr:rowOff>214311</xdr:rowOff>
    </xdr:to>
    <xdr:sp macro="" textlink="">
      <xdr:nvSpPr>
        <xdr:cNvPr id="11" name="Rahmen 10"/>
        <xdr:cNvSpPr/>
      </xdr:nvSpPr>
      <xdr:spPr>
        <a:xfrm>
          <a:off x="0" y="3619499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47623</xdr:colOff>
      <xdr:row>0</xdr:row>
      <xdr:rowOff>0</xdr:rowOff>
    </xdr:from>
    <xdr:to>
      <xdr:col>6</xdr:col>
      <xdr:colOff>1678781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190998" y="0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KURZE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2,0 bis 3,0 bar</a:t>
          </a:r>
        </a:p>
      </xdr:txBody>
    </xdr:sp>
    <xdr:clientData/>
  </xdr:twoCellAnchor>
  <xdr:oneCellAnchor>
    <xdr:from>
      <xdr:col>10</xdr:col>
      <xdr:colOff>0</xdr:colOff>
      <xdr:row>10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10</xdr:row>
      <xdr:rowOff>0</xdr:rowOff>
    </xdr:from>
    <xdr:ext cx="304800" cy="304800"/>
    <xdr:sp macro="" textlink="">
      <xdr:nvSpPr>
        <xdr:cNvPr id="1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11</xdr:row>
      <xdr:rowOff>0</xdr:rowOff>
    </xdr:from>
    <xdr:ext cx="304800" cy="304800"/>
    <xdr:sp macro="" textlink="">
      <xdr:nvSpPr>
        <xdr:cNvPr id="1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1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2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2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11</xdr:row>
      <xdr:rowOff>0</xdr:rowOff>
    </xdr:from>
    <xdr:ext cx="304800" cy="304800"/>
    <xdr:sp macro="" textlink="">
      <xdr:nvSpPr>
        <xdr:cNvPr id="2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2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2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2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2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2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3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3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13</xdr:row>
      <xdr:rowOff>0</xdr:rowOff>
    </xdr:from>
    <xdr:ext cx="304800" cy="304800"/>
    <xdr:sp macro="" textlink="">
      <xdr:nvSpPr>
        <xdr:cNvPr id="3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3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3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3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13</xdr:row>
      <xdr:rowOff>0</xdr:rowOff>
    </xdr:from>
    <xdr:ext cx="304800" cy="304800"/>
    <xdr:sp macro="" textlink="">
      <xdr:nvSpPr>
        <xdr:cNvPr id="3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3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3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3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13</xdr:row>
      <xdr:rowOff>0</xdr:rowOff>
    </xdr:from>
    <xdr:ext cx="304800" cy="304800"/>
    <xdr:sp macro="" textlink="">
      <xdr:nvSpPr>
        <xdr:cNvPr id="4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304800"/>
    <xdr:sp macro="" textlink="">
      <xdr:nvSpPr>
        <xdr:cNvPr id="4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4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4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4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715500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304800"/>
    <xdr:sp macro="" textlink="">
      <xdr:nvSpPr>
        <xdr:cNvPr id="4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63063" y="23693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25</xdr:row>
      <xdr:rowOff>102394</xdr:rowOff>
    </xdr:from>
    <xdr:to>
      <xdr:col>19</xdr:col>
      <xdr:colOff>420311</xdr:colOff>
      <xdr:row>33</xdr:row>
      <xdr:rowOff>145407</xdr:rowOff>
    </xdr:to>
    <xdr:grpSp>
      <xdr:nvGrpSpPr>
        <xdr:cNvPr id="10" name="Gruppieren 9"/>
        <xdr:cNvGrpSpPr/>
      </xdr:nvGrpSpPr>
      <xdr:grpSpPr>
        <a:xfrm>
          <a:off x="47625" y="5924550"/>
          <a:ext cx="13957717" cy="1852763"/>
          <a:chOff x="95250" y="3579019"/>
          <a:chExt cx="13957717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957717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71436</xdr:rowOff>
    </xdr:from>
    <xdr:to>
      <xdr:col>3</xdr:col>
      <xdr:colOff>773906</xdr:colOff>
      <xdr:row>19</xdr:row>
      <xdr:rowOff>226217</xdr:rowOff>
    </xdr:to>
    <xdr:sp macro="" textlink="">
      <xdr:nvSpPr>
        <xdr:cNvPr id="11" name="Rahmen 10"/>
        <xdr:cNvSpPr/>
      </xdr:nvSpPr>
      <xdr:spPr>
        <a:xfrm>
          <a:off x="0" y="3631405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23811</xdr:colOff>
      <xdr:row>0</xdr:row>
      <xdr:rowOff>0</xdr:rowOff>
    </xdr:from>
    <xdr:to>
      <xdr:col>6</xdr:col>
      <xdr:colOff>1654969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167186" y="0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LANGE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3,0 bis 5,0 bar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111919</xdr:rowOff>
    </xdr:from>
    <xdr:to>
      <xdr:col>19</xdr:col>
      <xdr:colOff>372685</xdr:colOff>
      <xdr:row>33</xdr:row>
      <xdr:rowOff>116832</xdr:rowOff>
    </xdr:to>
    <xdr:grpSp>
      <xdr:nvGrpSpPr>
        <xdr:cNvPr id="11" name="Gruppieren 10"/>
        <xdr:cNvGrpSpPr/>
      </xdr:nvGrpSpPr>
      <xdr:grpSpPr>
        <a:xfrm>
          <a:off x="0" y="5993607"/>
          <a:ext cx="13410029" cy="1814663"/>
          <a:chOff x="95250" y="3814763"/>
          <a:chExt cx="13410029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5055921"/>
            <a:ext cx="13410029" cy="573505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881702"/>
            <a:ext cx="4843850" cy="1099844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3814763"/>
            <a:ext cx="4832556" cy="1192407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10" name="Rahmen 9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2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202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20</xdr:row>
      <xdr:rowOff>47625</xdr:rowOff>
    </xdr:from>
    <xdr:to>
      <xdr:col>10</xdr:col>
      <xdr:colOff>369094</xdr:colOff>
      <xdr:row>25</xdr:row>
      <xdr:rowOff>-1</xdr:rowOff>
    </xdr:to>
    <xdr:sp macro="" textlink="">
      <xdr:nvSpPr>
        <xdr:cNvPr id="30" name="Rahmen 29"/>
        <xdr:cNvSpPr/>
      </xdr:nvSpPr>
      <xdr:spPr>
        <a:xfrm>
          <a:off x="0" y="4798219"/>
          <a:ext cx="9334500" cy="1083468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(l/ha), die Fahrgeschwindigkeit (km/h), Bandbreite (cm), der Reihenabstand (cm), die Schlaggröße (ha) und die PSM-Menge (l bzw. kg/ha) verändert werden </a:t>
          </a:r>
          <a:b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in den grünen Feldern wird der Anteil berechnet der angesetzt bzw. behandelt werden muss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0</xdr:row>
      <xdr:rowOff>0</xdr:rowOff>
    </xdr:from>
    <xdr:to>
      <xdr:col>6</xdr:col>
      <xdr:colOff>797720</xdr:colOff>
      <xdr:row>3</xdr:row>
      <xdr:rowOff>190500</xdr:rowOff>
    </xdr:to>
    <xdr:sp macro="" textlink="">
      <xdr:nvSpPr>
        <xdr:cNvPr id="31" name="Rahmen 30"/>
        <xdr:cNvSpPr/>
      </xdr:nvSpPr>
      <xdr:spPr>
        <a:xfrm>
          <a:off x="4238625" y="0"/>
          <a:ext cx="2714626" cy="89296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Bandspritzdüsen</a:t>
          </a:r>
        </a:p>
      </xdr:txBody>
    </xdr:sp>
    <xdr:clientData/>
  </xdr:twoCellAnchor>
  <xdr:twoCellAnchor>
    <xdr:from>
      <xdr:col>2</xdr:col>
      <xdr:colOff>83344</xdr:colOff>
      <xdr:row>10</xdr:row>
      <xdr:rowOff>119062</xdr:rowOff>
    </xdr:from>
    <xdr:to>
      <xdr:col>3</xdr:col>
      <xdr:colOff>797719</xdr:colOff>
      <xdr:row>14</xdr:row>
      <xdr:rowOff>107156</xdr:rowOff>
    </xdr:to>
    <xdr:sp macro="" textlink="">
      <xdr:nvSpPr>
        <xdr:cNvPr id="33" name="Horizontales Scrollen 32"/>
        <xdr:cNvSpPr/>
      </xdr:nvSpPr>
      <xdr:spPr>
        <a:xfrm>
          <a:off x="2750344" y="2488406"/>
          <a:ext cx="1357313" cy="940594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l/ha auf die ges. Fläche bezogen</a:t>
          </a:r>
        </a:p>
      </xdr:txBody>
    </xdr:sp>
    <xdr:clientData/>
  </xdr:twoCellAnchor>
  <xdr:twoCellAnchor>
    <xdr:from>
      <xdr:col>3</xdr:col>
      <xdr:colOff>642937</xdr:colOff>
      <xdr:row>15</xdr:row>
      <xdr:rowOff>59530</xdr:rowOff>
    </xdr:from>
    <xdr:to>
      <xdr:col>5</xdr:col>
      <xdr:colOff>404813</xdr:colOff>
      <xdr:row>19</xdr:row>
      <xdr:rowOff>47624</xdr:rowOff>
    </xdr:to>
    <xdr:sp macro="" textlink="">
      <xdr:nvSpPr>
        <xdr:cNvPr id="34" name="Horizontales Scrollen 33"/>
        <xdr:cNvSpPr/>
      </xdr:nvSpPr>
      <xdr:spPr>
        <a:xfrm>
          <a:off x="3952875" y="3619499"/>
          <a:ext cx="1357313" cy="940594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l/kg auf das behandelte Band bezogen</a:t>
          </a:r>
        </a:p>
      </xdr:txBody>
    </xdr:sp>
    <xdr:clientData/>
  </xdr:twoCellAnchor>
  <xdr:twoCellAnchor>
    <xdr:from>
      <xdr:col>5</xdr:col>
      <xdr:colOff>690562</xdr:colOff>
      <xdr:row>12</xdr:row>
      <xdr:rowOff>59531</xdr:rowOff>
    </xdr:from>
    <xdr:to>
      <xdr:col>7</xdr:col>
      <xdr:colOff>64293</xdr:colOff>
      <xdr:row>19</xdr:row>
      <xdr:rowOff>69056</xdr:rowOff>
    </xdr:to>
    <xdr:grpSp>
      <xdr:nvGrpSpPr>
        <xdr:cNvPr id="35" name="Group 329"/>
        <xdr:cNvGrpSpPr>
          <a:grpSpLocks/>
        </xdr:cNvGrpSpPr>
      </xdr:nvGrpSpPr>
      <xdr:grpSpPr bwMode="auto">
        <a:xfrm>
          <a:off x="5595937" y="2905125"/>
          <a:ext cx="2076450" cy="1676400"/>
          <a:chOff x="823" y="40"/>
          <a:chExt cx="201" cy="165"/>
        </a:xfrm>
      </xdr:grpSpPr>
      <xdr:grpSp>
        <xdr:nvGrpSpPr>
          <xdr:cNvPr id="36" name="Group 330"/>
          <xdr:cNvGrpSpPr>
            <a:grpSpLocks noChangeAspect="1"/>
          </xdr:cNvGrpSpPr>
        </xdr:nvGrpSpPr>
        <xdr:grpSpPr bwMode="auto">
          <a:xfrm>
            <a:off x="823" y="40"/>
            <a:ext cx="201" cy="165"/>
            <a:chOff x="1080" y="1414"/>
            <a:chExt cx="2538" cy="2084"/>
          </a:xfrm>
        </xdr:grpSpPr>
        <xdr:grpSp>
          <xdr:nvGrpSpPr>
            <xdr:cNvPr id="38" name="Group 331"/>
            <xdr:cNvGrpSpPr>
              <a:grpSpLocks noChangeAspect="1"/>
            </xdr:cNvGrpSpPr>
          </xdr:nvGrpSpPr>
          <xdr:grpSpPr bwMode="auto">
            <a:xfrm>
              <a:off x="1294" y="3229"/>
              <a:ext cx="185" cy="205"/>
              <a:chOff x="2293" y="3490"/>
              <a:chExt cx="65" cy="72"/>
            </a:xfrm>
          </xdr:grpSpPr>
          <xdr:sp macro="" textlink="">
            <xdr:nvSpPr>
              <xdr:cNvPr id="256" name="Freeform 332"/>
              <xdr:cNvSpPr>
                <a:spLocks noChangeAspect="1"/>
              </xdr:cNvSpPr>
            </xdr:nvSpPr>
            <xdr:spPr bwMode="auto">
              <a:xfrm>
                <a:off x="2332" y="3536"/>
                <a:ext cx="5" cy="6"/>
              </a:xfrm>
              <a:custGeom>
                <a:avLst/>
                <a:gdLst>
                  <a:gd name="T0" fmla="*/ 0 w 39"/>
                  <a:gd name="T1" fmla="*/ 1 h 37"/>
                  <a:gd name="T2" fmla="*/ 0 w 39"/>
                  <a:gd name="T3" fmla="*/ 1 h 37"/>
                  <a:gd name="T4" fmla="*/ 1 w 39"/>
                  <a:gd name="T5" fmla="*/ 0 h 37"/>
                  <a:gd name="T6" fmla="*/ 1 w 39"/>
                  <a:gd name="T7" fmla="*/ 0 h 37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9" h="37">
                    <a:moveTo>
                      <a:pt x="0" y="37"/>
                    </a:moveTo>
                    <a:lnTo>
                      <a:pt x="27" y="26"/>
                    </a:lnTo>
                    <a:lnTo>
                      <a:pt x="38" y="0"/>
                    </a:lnTo>
                    <a:lnTo>
                      <a:pt x="3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7" name="Freeform 333"/>
              <xdr:cNvSpPr>
                <a:spLocks noChangeAspect="1"/>
              </xdr:cNvSpPr>
            </xdr:nvSpPr>
            <xdr:spPr bwMode="auto">
              <a:xfrm>
                <a:off x="2327" y="3530"/>
                <a:ext cx="6" cy="7"/>
              </a:xfrm>
              <a:custGeom>
                <a:avLst/>
                <a:gdLst>
                  <a:gd name="T0" fmla="*/ 0 w 48"/>
                  <a:gd name="T1" fmla="*/ 1 h 49"/>
                  <a:gd name="T2" fmla="*/ 1 w 48"/>
                  <a:gd name="T3" fmla="*/ 1 h 49"/>
                  <a:gd name="T4" fmla="*/ 1 w 48"/>
                  <a:gd name="T5" fmla="*/ 0 h 49"/>
                  <a:gd name="T6" fmla="*/ 1 w 48"/>
                  <a:gd name="T7" fmla="*/ 0 h 49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48" h="49">
                    <a:moveTo>
                      <a:pt x="0" y="49"/>
                    </a:moveTo>
                    <a:lnTo>
                      <a:pt x="34" y="35"/>
                    </a:lnTo>
                    <a:lnTo>
                      <a:pt x="47" y="0"/>
                    </a:lnTo>
                    <a:lnTo>
                      <a:pt x="4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8" name="Freeform 334"/>
              <xdr:cNvSpPr>
                <a:spLocks noChangeAspect="1"/>
              </xdr:cNvSpPr>
            </xdr:nvSpPr>
            <xdr:spPr bwMode="auto">
              <a:xfrm>
                <a:off x="2326" y="3557"/>
                <a:ext cx="1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9" name="Freeform 335"/>
              <xdr:cNvSpPr>
                <a:spLocks noChangeAspect="1"/>
              </xdr:cNvSpPr>
            </xdr:nvSpPr>
            <xdr:spPr bwMode="auto">
              <a:xfrm>
                <a:off x="2332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0" name="Freeform 336"/>
              <xdr:cNvSpPr>
                <a:spLocks noChangeAspect="1"/>
              </xdr:cNvSpPr>
            </xdr:nvSpPr>
            <xdr:spPr bwMode="auto">
              <a:xfrm>
                <a:off x="2327" y="3524"/>
                <a:ext cx="0" cy="7"/>
              </a:xfrm>
              <a:custGeom>
                <a:avLst/>
                <a:gdLst>
                  <a:gd name="T0" fmla="*/ 0 w 1"/>
                  <a:gd name="T1" fmla="*/ 1 h 50"/>
                  <a:gd name="T2" fmla="*/ 0 w 1"/>
                  <a:gd name="T3" fmla="*/ 0 h 50"/>
                  <a:gd name="T4" fmla="*/ 1 w 1"/>
                  <a:gd name="T5" fmla="*/ 0 h 5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0">
                    <a:moveTo>
                      <a:pt x="0" y="5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1" name="Freeform 337"/>
              <xdr:cNvSpPr>
                <a:spLocks noChangeAspect="1"/>
              </xdr:cNvSpPr>
            </xdr:nvSpPr>
            <xdr:spPr bwMode="auto">
              <a:xfrm>
                <a:off x="2326" y="3513"/>
                <a:ext cx="1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2" name="Freeform 338"/>
              <xdr:cNvSpPr>
                <a:spLocks noChangeAspect="1"/>
              </xdr:cNvSpPr>
            </xdr:nvSpPr>
            <xdr:spPr bwMode="auto">
              <a:xfrm>
                <a:off x="232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3" name="Freeform 339"/>
              <xdr:cNvSpPr>
                <a:spLocks noChangeAspect="1"/>
              </xdr:cNvSpPr>
            </xdr:nvSpPr>
            <xdr:spPr bwMode="auto">
              <a:xfrm>
                <a:off x="2327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4" name="Freeform 340"/>
              <xdr:cNvSpPr>
                <a:spLocks noChangeAspect="1"/>
              </xdr:cNvSpPr>
            </xdr:nvSpPr>
            <xdr:spPr bwMode="auto">
              <a:xfrm>
                <a:off x="2332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5" name="Freeform 341"/>
              <xdr:cNvSpPr>
                <a:spLocks noChangeAspect="1"/>
              </xdr:cNvSpPr>
            </xdr:nvSpPr>
            <xdr:spPr bwMode="auto">
              <a:xfrm>
                <a:off x="2358" y="3510"/>
                <a:ext cx="0" cy="14"/>
              </a:xfrm>
              <a:custGeom>
                <a:avLst/>
                <a:gdLst>
                  <a:gd name="T0" fmla="*/ 0 w 1"/>
                  <a:gd name="T1" fmla="*/ 0 h 97"/>
                  <a:gd name="T2" fmla="*/ 0 w 1"/>
                  <a:gd name="T3" fmla="*/ 2 h 97"/>
                  <a:gd name="T4" fmla="*/ 1 w 1"/>
                  <a:gd name="T5" fmla="*/ 2 h 9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7">
                    <a:moveTo>
                      <a:pt x="0" y="0"/>
                    </a:moveTo>
                    <a:lnTo>
                      <a:pt x="0" y="97"/>
                    </a:lnTo>
                    <a:lnTo>
                      <a:pt x="1" y="9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6" name="Freeform 342"/>
              <xdr:cNvSpPr>
                <a:spLocks noChangeAspect="1"/>
              </xdr:cNvSpPr>
            </xdr:nvSpPr>
            <xdr:spPr bwMode="auto">
              <a:xfrm>
                <a:off x="2348" y="3516"/>
                <a:ext cx="1" cy="8"/>
              </a:xfrm>
              <a:custGeom>
                <a:avLst/>
                <a:gdLst>
                  <a:gd name="T0" fmla="*/ 0 w 1"/>
                  <a:gd name="T1" fmla="*/ 0 h 55"/>
                  <a:gd name="T2" fmla="*/ 0 w 1"/>
                  <a:gd name="T3" fmla="*/ 1 h 55"/>
                  <a:gd name="T4" fmla="*/ 1 w 1"/>
                  <a:gd name="T5" fmla="*/ 1 h 5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5">
                    <a:moveTo>
                      <a:pt x="0" y="0"/>
                    </a:moveTo>
                    <a:lnTo>
                      <a:pt x="0" y="55"/>
                    </a:lnTo>
                    <a:lnTo>
                      <a:pt x="1" y="55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7" name="Freeform 343"/>
              <xdr:cNvSpPr>
                <a:spLocks noChangeAspect="1"/>
              </xdr:cNvSpPr>
            </xdr:nvSpPr>
            <xdr:spPr bwMode="auto">
              <a:xfrm>
                <a:off x="2348" y="3519"/>
                <a:ext cx="7" cy="11"/>
              </a:xfrm>
              <a:custGeom>
                <a:avLst/>
                <a:gdLst>
                  <a:gd name="T0" fmla="*/ 0 w 50"/>
                  <a:gd name="T1" fmla="*/ 2 h 77"/>
                  <a:gd name="T2" fmla="*/ 1 w 50"/>
                  <a:gd name="T3" fmla="*/ 0 h 77"/>
                  <a:gd name="T4" fmla="*/ 1 w 50"/>
                  <a:gd name="T5" fmla="*/ 0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0" h="77">
                    <a:moveTo>
                      <a:pt x="0" y="77"/>
                    </a:moveTo>
                    <a:lnTo>
                      <a:pt x="49" y="0"/>
                    </a:lnTo>
                    <a:lnTo>
                      <a:pt x="5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8" name="Freeform 344"/>
              <xdr:cNvSpPr>
                <a:spLocks noChangeAspect="1"/>
              </xdr:cNvSpPr>
            </xdr:nvSpPr>
            <xdr:spPr bwMode="auto">
              <a:xfrm>
                <a:off x="2347" y="3545"/>
                <a:ext cx="2" cy="2"/>
              </a:xfrm>
              <a:custGeom>
                <a:avLst/>
                <a:gdLst>
                  <a:gd name="T0" fmla="*/ 0 w 8"/>
                  <a:gd name="T1" fmla="*/ 0 h 13"/>
                  <a:gd name="T2" fmla="*/ 1 w 8"/>
                  <a:gd name="T3" fmla="*/ 0 h 13"/>
                  <a:gd name="T4" fmla="*/ 1 w 8"/>
                  <a:gd name="T5" fmla="*/ 0 h 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13">
                    <a:moveTo>
                      <a:pt x="0" y="13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9" name="Freeform 345"/>
              <xdr:cNvSpPr>
                <a:spLocks noChangeAspect="1"/>
              </xdr:cNvSpPr>
            </xdr:nvSpPr>
            <xdr:spPr bwMode="auto">
              <a:xfrm>
                <a:off x="2347" y="3547"/>
                <a:ext cx="1" cy="2"/>
              </a:xfrm>
              <a:custGeom>
                <a:avLst/>
                <a:gdLst>
                  <a:gd name="T0" fmla="*/ 0 w 7"/>
                  <a:gd name="T1" fmla="*/ 0 h 14"/>
                  <a:gd name="T2" fmla="*/ 0 w 7"/>
                  <a:gd name="T3" fmla="*/ 0 h 14"/>
                  <a:gd name="T4" fmla="*/ 0 w 7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14">
                    <a:moveTo>
                      <a:pt x="7" y="1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0" name="Freeform 346"/>
              <xdr:cNvSpPr>
                <a:spLocks noChangeAspect="1"/>
              </xdr:cNvSpPr>
            </xdr:nvSpPr>
            <xdr:spPr bwMode="auto">
              <a:xfrm>
                <a:off x="2347" y="3557"/>
                <a:ext cx="1" cy="3"/>
              </a:xfrm>
              <a:custGeom>
                <a:avLst/>
                <a:gdLst>
                  <a:gd name="T0" fmla="*/ 0 w 7"/>
                  <a:gd name="T1" fmla="*/ 0 h 23"/>
                  <a:gd name="T2" fmla="*/ 0 w 7"/>
                  <a:gd name="T3" fmla="*/ 0 h 23"/>
                  <a:gd name="T4" fmla="*/ 0 w 7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23">
                    <a:moveTo>
                      <a:pt x="7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1" name="Freeform 347"/>
              <xdr:cNvSpPr>
                <a:spLocks noChangeAspect="1"/>
              </xdr:cNvSpPr>
            </xdr:nvSpPr>
            <xdr:spPr bwMode="auto">
              <a:xfrm>
                <a:off x="2337" y="3549"/>
                <a:ext cx="11" cy="0"/>
              </a:xfrm>
              <a:custGeom>
                <a:avLst/>
                <a:gdLst>
                  <a:gd name="T0" fmla="*/ 1 w 91"/>
                  <a:gd name="T1" fmla="*/ 0 w 91"/>
                  <a:gd name="T2" fmla="*/ 0 w 91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1">
                    <a:moveTo>
                      <a:pt x="91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2" name="Freeform 348"/>
              <xdr:cNvSpPr>
                <a:spLocks noChangeAspect="1"/>
              </xdr:cNvSpPr>
            </xdr:nvSpPr>
            <xdr:spPr bwMode="auto">
              <a:xfrm>
                <a:off x="2347" y="3524"/>
                <a:ext cx="1" cy="2"/>
              </a:xfrm>
              <a:custGeom>
                <a:avLst/>
                <a:gdLst>
                  <a:gd name="T0" fmla="*/ 0 w 7"/>
                  <a:gd name="T1" fmla="*/ 0 h 14"/>
                  <a:gd name="T2" fmla="*/ 0 w 7"/>
                  <a:gd name="T3" fmla="*/ 0 h 14"/>
                  <a:gd name="T4" fmla="*/ 0 w 7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14">
                    <a:moveTo>
                      <a:pt x="7" y="0"/>
                    </a:moveTo>
                    <a:lnTo>
                      <a:pt x="0" y="14"/>
                    </a:lnTo>
                    <a:lnTo>
                      <a:pt x="1" y="1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3" name="Freeform 349"/>
              <xdr:cNvSpPr>
                <a:spLocks noChangeAspect="1"/>
              </xdr:cNvSpPr>
            </xdr:nvSpPr>
            <xdr:spPr bwMode="auto">
              <a:xfrm>
                <a:off x="2347" y="3526"/>
                <a:ext cx="2" cy="2"/>
              </a:xfrm>
              <a:custGeom>
                <a:avLst/>
                <a:gdLst>
                  <a:gd name="T0" fmla="*/ 0 w 8"/>
                  <a:gd name="T1" fmla="*/ 0 h 13"/>
                  <a:gd name="T2" fmla="*/ 1 w 8"/>
                  <a:gd name="T3" fmla="*/ 0 h 13"/>
                  <a:gd name="T4" fmla="*/ 1 w 8"/>
                  <a:gd name="T5" fmla="*/ 0 h 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13">
                    <a:moveTo>
                      <a:pt x="0" y="0"/>
                    </a:moveTo>
                    <a:lnTo>
                      <a:pt x="7" y="13"/>
                    </a:lnTo>
                    <a:lnTo>
                      <a:pt x="8" y="1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4" name="Freeform 350"/>
              <xdr:cNvSpPr>
                <a:spLocks noChangeAspect="1"/>
              </xdr:cNvSpPr>
            </xdr:nvSpPr>
            <xdr:spPr bwMode="auto">
              <a:xfrm>
                <a:off x="2337" y="3524"/>
                <a:ext cx="11" cy="0"/>
              </a:xfrm>
              <a:custGeom>
                <a:avLst/>
                <a:gdLst>
                  <a:gd name="T0" fmla="*/ 1 w 91"/>
                  <a:gd name="T1" fmla="*/ 0 w 91"/>
                  <a:gd name="T2" fmla="*/ 0 w 91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1">
                    <a:moveTo>
                      <a:pt x="91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5" name="Freeform 351"/>
              <xdr:cNvSpPr>
                <a:spLocks noChangeAspect="1"/>
              </xdr:cNvSpPr>
            </xdr:nvSpPr>
            <xdr:spPr bwMode="auto">
              <a:xfrm>
                <a:off x="2333" y="3525"/>
                <a:ext cx="0" cy="5"/>
              </a:xfrm>
              <a:custGeom>
                <a:avLst/>
                <a:gdLst>
                  <a:gd name="T0" fmla="*/ 0 w 1"/>
                  <a:gd name="T1" fmla="*/ 1 h 31"/>
                  <a:gd name="T2" fmla="*/ 0 w 1"/>
                  <a:gd name="T3" fmla="*/ 0 h 31"/>
                  <a:gd name="T4" fmla="*/ 1 w 1"/>
                  <a:gd name="T5" fmla="*/ 0 h 3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1">
                    <a:moveTo>
                      <a:pt x="0" y="3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6" name="Freeform 352"/>
              <xdr:cNvSpPr>
                <a:spLocks noChangeAspect="1"/>
              </xdr:cNvSpPr>
            </xdr:nvSpPr>
            <xdr:spPr bwMode="auto">
              <a:xfrm>
                <a:off x="2337" y="3524"/>
                <a:ext cx="0" cy="12"/>
              </a:xfrm>
              <a:custGeom>
                <a:avLst/>
                <a:gdLst>
                  <a:gd name="T0" fmla="*/ 0 w 1"/>
                  <a:gd name="T1" fmla="*/ 2 h 89"/>
                  <a:gd name="T2" fmla="*/ 0 w 1"/>
                  <a:gd name="T3" fmla="*/ 0 h 89"/>
                  <a:gd name="T4" fmla="*/ 1 w 1"/>
                  <a:gd name="T5" fmla="*/ 0 h 8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89">
                    <a:moveTo>
                      <a:pt x="0" y="89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7" name="Freeform 353"/>
              <xdr:cNvSpPr>
                <a:spLocks noChangeAspect="1"/>
              </xdr:cNvSpPr>
            </xdr:nvSpPr>
            <xdr:spPr bwMode="auto">
              <a:xfrm>
                <a:off x="2345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8" name="Freeform 354"/>
              <xdr:cNvSpPr>
                <a:spLocks noChangeAspect="1"/>
              </xdr:cNvSpPr>
            </xdr:nvSpPr>
            <xdr:spPr bwMode="auto">
              <a:xfrm>
                <a:off x="2337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9" name="Freeform 355"/>
              <xdr:cNvSpPr>
                <a:spLocks noChangeAspect="1"/>
              </xdr:cNvSpPr>
            </xdr:nvSpPr>
            <xdr:spPr bwMode="auto">
              <a:xfrm>
                <a:off x="2341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0" name="Freeform 356"/>
              <xdr:cNvSpPr>
                <a:spLocks noChangeAspect="1"/>
              </xdr:cNvSpPr>
            </xdr:nvSpPr>
            <xdr:spPr bwMode="auto">
              <a:xfrm>
                <a:off x="2348" y="3528"/>
                <a:ext cx="1" cy="17"/>
              </a:xfrm>
              <a:custGeom>
                <a:avLst/>
                <a:gdLst>
                  <a:gd name="T0" fmla="*/ 0 w 1"/>
                  <a:gd name="T1" fmla="*/ 0 h 120"/>
                  <a:gd name="T2" fmla="*/ 0 w 1"/>
                  <a:gd name="T3" fmla="*/ 2 h 120"/>
                  <a:gd name="T4" fmla="*/ 1 w 1"/>
                  <a:gd name="T5" fmla="*/ 2 h 12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20">
                    <a:moveTo>
                      <a:pt x="0" y="0"/>
                    </a:moveTo>
                    <a:lnTo>
                      <a:pt x="0" y="120"/>
                    </a:lnTo>
                    <a:lnTo>
                      <a:pt x="1" y="12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1" name="Freeform 357"/>
              <xdr:cNvSpPr>
                <a:spLocks noChangeAspect="1"/>
              </xdr:cNvSpPr>
            </xdr:nvSpPr>
            <xdr:spPr bwMode="auto">
              <a:xfrm>
                <a:off x="2350" y="3530"/>
                <a:ext cx="0" cy="13"/>
              </a:xfrm>
              <a:custGeom>
                <a:avLst/>
                <a:gdLst>
                  <a:gd name="T0" fmla="*/ 0 w 1"/>
                  <a:gd name="T1" fmla="*/ 0 h 90"/>
                  <a:gd name="T2" fmla="*/ 0 w 1"/>
                  <a:gd name="T3" fmla="*/ 2 h 90"/>
                  <a:gd name="T4" fmla="*/ 1 w 1"/>
                  <a:gd name="T5" fmla="*/ 2 h 9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0">
                    <a:moveTo>
                      <a:pt x="0" y="0"/>
                    </a:moveTo>
                    <a:lnTo>
                      <a:pt x="0" y="90"/>
                    </a:lnTo>
                    <a:lnTo>
                      <a:pt x="1" y="9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2" name="Freeform 358"/>
              <xdr:cNvSpPr>
                <a:spLocks noChangeAspect="1"/>
              </xdr:cNvSpPr>
            </xdr:nvSpPr>
            <xdr:spPr bwMode="auto">
              <a:xfrm>
                <a:off x="2356" y="3530"/>
                <a:ext cx="0" cy="12"/>
              </a:xfrm>
              <a:custGeom>
                <a:avLst/>
                <a:gdLst>
                  <a:gd name="T0" fmla="*/ 0 w 1"/>
                  <a:gd name="T1" fmla="*/ 0 h 82"/>
                  <a:gd name="T2" fmla="*/ 0 w 1"/>
                  <a:gd name="T3" fmla="*/ 2 h 82"/>
                  <a:gd name="T4" fmla="*/ 1 w 1"/>
                  <a:gd name="T5" fmla="*/ 2 h 8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82">
                    <a:moveTo>
                      <a:pt x="0" y="0"/>
                    </a:moveTo>
                    <a:lnTo>
                      <a:pt x="0" y="82"/>
                    </a:lnTo>
                    <a:lnTo>
                      <a:pt x="1" y="8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3" name="Freeform 359"/>
              <xdr:cNvSpPr>
                <a:spLocks noChangeAspect="1"/>
              </xdr:cNvSpPr>
            </xdr:nvSpPr>
            <xdr:spPr bwMode="auto">
              <a:xfrm>
                <a:off x="2354" y="3562"/>
                <a:ext cx="4" cy="0"/>
              </a:xfrm>
              <a:custGeom>
                <a:avLst/>
                <a:gdLst>
                  <a:gd name="T0" fmla="*/ 0 w 30"/>
                  <a:gd name="T1" fmla="*/ 1 w 30"/>
                  <a:gd name="T2" fmla="*/ 1 w 3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">
                    <a:moveTo>
                      <a:pt x="0" y="0"/>
                    </a:moveTo>
                    <a:lnTo>
                      <a:pt x="29" y="0"/>
                    </a:lnTo>
                    <a:lnTo>
                      <a:pt x="3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4" name="Freeform 360"/>
              <xdr:cNvSpPr>
                <a:spLocks noChangeAspect="1"/>
              </xdr:cNvSpPr>
            </xdr:nvSpPr>
            <xdr:spPr bwMode="auto">
              <a:xfrm>
                <a:off x="2348" y="3542"/>
                <a:ext cx="7" cy="11"/>
              </a:xfrm>
              <a:custGeom>
                <a:avLst/>
                <a:gdLst>
                  <a:gd name="T0" fmla="*/ 0 w 50"/>
                  <a:gd name="T1" fmla="*/ 0 h 77"/>
                  <a:gd name="T2" fmla="*/ 1 w 50"/>
                  <a:gd name="T3" fmla="*/ 2 h 77"/>
                  <a:gd name="T4" fmla="*/ 1 w 50"/>
                  <a:gd name="T5" fmla="*/ 2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0" h="77">
                    <a:moveTo>
                      <a:pt x="0" y="0"/>
                    </a:moveTo>
                    <a:lnTo>
                      <a:pt x="49" y="77"/>
                    </a:lnTo>
                    <a:lnTo>
                      <a:pt x="50" y="7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5" name="Freeform 361"/>
              <xdr:cNvSpPr>
                <a:spLocks noChangeAspect="1"/>
              </xdr:cNvSpPr>
            </xdr:nvSpPr>
            <xdr:spPr bwMode="auto">
              <a:xfrm>
                <a:off x="2348" y="3549"/>
                <a:ext cx="1" cy="8"/>
              </a:xfrm>
              <a:custGeom>
                <a:avLst/>
                <a:gdLst>
                  <a:gd name="T0" fmla="*/ 0 w 1"/>
                  <a:gd name="T1" fmla="*/ 1 h 55"/>
                  <a:gd name="T2" fmla="*/ 0 w 1"/>
                  <a:gd name="T3" fmla="*/ 0 h 55"/>
                  <a:gd name="T4" fmla="*/ 1 w 1"/>
                  <a:gd name="T5" fmla="*/ 0 h 5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5">
                    <a:moveTo>
                      <a:pt x="0" y="5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6" name="Freeform 362"/>
              <xdr:cNvSpPr>
                <a:spLocks noChangeAspect="1"/>
              </xdr:cNvSpPr>
            </xdr:nvSpPr>
            <xdr:spPr bwMode="auto">
              <a:xfrm>
                <a:off x="2354" y="3553"/>
                <a:ext cx="1" cy="9"/>
              </a:xfrm>
              <a:custGeom>
                <a:avLst/>
                <a:gdLst>
                  <a:gd name="T0" fmla="*/ 0 w 1"/>
                  <a:gd name="T1" fmla="*/ 0 h 63"/>
                  <a:gd name="T2" fmla="*/ 0 w 1"/>
                  <a:gd name="T3" fmla="*/ 1 h 63"/>
                  <a:gd name="T4" fmla="*/ 1 w 1"/>
                  <a:gd name="T5" fmla="*/ 1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0"/>
                    </a:moveTo>
                    <a:lnTo>
                      <a:pt x="0" y="63"/>
                    </a:lnTo>
                    <a:lnTo>
                      <a:pt x="1" y="6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7" name="Freeform 363"/>
              <xdr:cNvSpPr>
                <a:spLocks noChangeAspect="1"/>
              </xdr:cNvSpPr>
            </xdr:nvSpPr>
            <xdr:spPr bwMode="auto">
              <a:xfrm>
                <a:off x="2356" y="3542"/>
                <a:ext cx="2" cy="6"/>
              </a:xfrm>
              <a:custGeom>
                <a:avLst/>
                <a:gdLst>
                  <a:gd name="T0" fmla="*/ 0 w 19"/>
                  <a:gd name="T1" fmla="*/ 1 h 43"/>
                  <a:gd name="T2" fmla="*/ 0 w 19"/>
                  <a:gd name="T3" fmla="*/ 0 h 43"/>
                  <a:gd name="T4" fmla="*/ 0 w 19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43">
                    <a:moveTo>
                      <a:pt x="19" y="4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8" name="Freeform 364"/>
              <xdr:cNvSpPr>
                <a:spLocks noChangeAspect="1"/>
              </xdr:cNvSpPr>
            </xdr:nvSpPr>
            <xdr:spPr bwMode="auto">
              <a:xfrm>
                <a:off x="2358" y="3548"/>
                <a:ext cx="0" cy="14"/>
              </a:xfrm>
              <a:custGeom>
                <a:avLst/>
                <a:gdLst>
                  <a:gd name="T0" fmla="*/ 0 w 1"/>
                  <a:gd name="T1" fmla="*/ 2 h 98"/>
                  <a:gd name="T2" fmla="*/ 0 w 1"/>
                  <a:gd name="T3" fmla="*/ 0 h 98"/>
                  <a:gd name="T4" fmla="*/ 1 w 1"/>
                  <a:gd name="T5" fmla="*/ 0 h 9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8">
                    <a:moveTo>
                      <a:pt x="0" y="9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9" name="Freeform 365"/>
              <xdr:cNvSpPr>
                <a:spLocks noChangeAspect="1"/>
              </xdr:cNvSpPr>
            </xdr:nvSpPr>
            <xdr:spPr bwMode="auto">
              <a:xfrm>
                <a:off x="2356" y="3524"/>
                <a:ext cx="2" cy="6"/>
              </a:xfrm>
              <a:custGeom>
                <a:avLst/>
                <a:gdLst>
                  <a:gd name="T0" fmla="*/ 0 w 19"/>
                  <a:gd name="T1" fmla="*/ 0 h 43"/>
                  <a:gd name="T2" fmla="*/ 0 w 19"/>
                  <a:gd name="T3" fmla="*/ 1 h 43"/>
                  <a:gd name="T4" fmla="*/ 0 w 19"/>
                  <a:gd name="T5" fmla="*/ 1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43">
                    <a:moveTo>
                      <a:pt x="19" y="0"/>
                    </a:moveTo>
                    <a:lnTo>
                      <a:pt x="0" y="43"/>
                    </a:lnTo>
                    <a:lnTo>
                      <a:pt x="1" y="4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0" name="Freeform 366"/>
              <xdr:cNvSpPr>
                <a:spLocks noChangeAspect="1"/>
              </xdr:cNvSpPr>
            </xdr:nvSpPr>
            <xdr:spPr bwMode="auto">
              <a:xfrm>
                <a:off x="2347" y="3513"/>
                <a:ext cx="1" cy="3"/>
              </a:xfrm>
              <a:custGeom>
                <a:avLst/>
                <a:gdLst>
                  <a:gd name="T0" fmla="*/ 0 w 7"/>
                  <a:gd name="T1" fmla="*/ 0 h 23"/>
                  <a:gd name="T2" fmla="*/ 0 w 7"/>
                  <a:gd name="T3" fmla="*/ 0 h 23"/>
                  <a:gd name="T4" fmla="*/ 0 w 7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23">
                    <a:moveTo>
                      <a:pt x="7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1" name="Freeform 367"/>
              <xdr:cNvSpPr>
                <a:spLocks noChangeAspect="1"/>
              </xdr:cNvSpPr>
            </xdr:nvSpPr>
            <xdr:spPr bwMode="auto">
              <a:xfrm>
                <a:off x="2335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2" name="Freeform 368"/>
              <xdr:cNvSpPr>
                <a:spLocks noChangeAspect="1"/>
              </xdr:cNvSpPr>
            </xdr:nvSpPr>
            <xdr:spPr bwMode="auto">
              <a:xfrm>
                <a:off x="2345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3" name="Freeform 369"/>
              <xdr:cNvSpPr>
                <a:spLocks noChangeAspect="1"/>
              </xdr:cNvSpPr>
            </xdr:nvSpPr>
            <xdr:spPr bwMode="auto">
              <a:xfrm>
                <a:off x="2341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4" name="Freeform 370"/>
              <xdr:cNvSpPr>
                <a:spLocks noChangeAspect="1"/>
              </xdr:cNvSpPr>
            </xdr:nvSpPr>
            <xdr:spPr bwMode="auto">
              <a:xfrm>
                <a:off x="2337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5" name="Freeform 371"/>
              <xdr:cNvSpPr>
                <a:spLocks noChangeAspect="1"/>
              </xdr:cNvSpPr>
            </xdr:nvSpPr>
            <xdr:spPr bwMode="auto">
              <a:xfrm>
                <a:off x="2348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6" name="Freeform 372"/>
              <xdr:cNvSpPr>
                <a:spLocks noChangeAspect="1"/>
              </xdr:cNvSpPr>
            </xdr:nvSpPr>
            <xdr:spPr bwMode="auto">
              <a:xfrm>
                <a:off x="2344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7" name="Freeform 373"/>
              <xdr:cNvSpPr>
                <a:spLocks noChangeAspect="1"/>
              </xdr:cNvSpPr>
            </xdr:nvSpPr>
            <xdr:spPr bwMode="auto">
              <a:xfrm>
                <a:off x="2345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8" name="Freeform 374"/>
              <xdr:cNvSpPr>
                <a:spLocks noChangeAspect="1"/>
              </xdr:cNvSpPr>
            </xdr:nvSpPr>
            <xdr:spPr bwMode="auto">
              <a:xfrm>
                <a:off x="233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9" name="Freeform 375"/>
              <xdr:cNvSpPr>
                <a:spLocks noChangeAspect="1"/>
              </xdr:cNvSpPr>
            </xdr:nvSpPr>
            <xdr:spPr bwMode="auto">
              <a:xfrm>
                <a:off x="2336" y="3506"/>
                <a:ext cx="1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0" name="Freeform 376"/>
              <xdr:cNvSpPr>
                <a:spLocks noChangeAspect="1"/>
              </xdr:cNvSpPr>
            </xdr:nvSpPr>
            <xdr:spPr bwMode="auto">
              <a:xfrm>
                <a:off x="2342" y="3490"/>
                <a:ext cx="0" cy="6"/>
              </a:xfrm>
              <a:custGeom>
                <a:avLst/>
                <a:gdLst>
                  <a:gd name="T0" fmla="*/ 0 w 2"/>
                  <a:gd name="T1" fmla="*/ 1 h 41"/>
                  <a:gd name="T2" fmla="*/ 0 w 2"/>
                  <a:gd name="T3" fmla="*/ 0 h 41"/>
                  <a:gd name="T4" fmla="*/ 1 w 2"/>
                  <a:gd name="T5" fmla="*/ 0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41">
                    <a:moveTo>
                      <a:pt x="0" y="41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1" name="Freeform 377"/>
              <xdr:cNvSpPr>
                <a:spLocks noChangeAspect="1"/>
              </xdr:cNvSpPr>
            </xdr:nvSpPr>
            <xdr:spPr bwMode="auto">
              <a:xfrm>
                <a:off x="2344" y="3496"/>
                <a:ext cx="0" cy="3"/>
              </a:xfrm>
              <a:custGeom>
                <a:avLst/>
                <a:gdLst>
                  <a:gd name="T0" fmla="*/ 0 w 2"/>
                  <a:gd name="T1" fmla="*/ 0 h 24"/>
                  <a:gd name="T2" fmla="*/ 0 w 2"/>
                  <a:gd name="T3" fmla="*/ 0 h 24"/>
                  <a:gd name="T4" fmla="*/ 1 w 2"/>
                  <a:gd name="T5" fmla="*/ 0 h 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24">
                    <a:moveTo>
                      <a:pt x="0" y="0"/>
                    </a:moveTo>
                    <a:lnTo>
                      <a:pt x="0" y="24"/>
                    </a:lnTo>
                    <a:lnTo>
                      <a:pt x="2" y="2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2" name="Freeform 378"/>
              <xdr:cNvSpPr>
                <a:spLocks noChangeAspect="1"/>
              </xdr:cNvSpPr>
            </xdr:nvSpPr>
            <xdr:spPr bwMode="auto">
              <a:xfrm>
                <a:off x="2354" y="3510"/>
                <a:ext cx="1" cy="9"/>
              </a:xfrm>
              <a:custGeom>
                <a:avLst/>
                <a:gdLst>
                  <a:gd name="T0" fmla="*/ 0 w 1"/>
                  <a:gd name="T1" fmla="*/ 1 h 62"/>
                  <a:gd name="T2" fmla="*/ 0 w 1"/>
                  <a:gd name="T3" fmla="*/ 0 h 62"/>
                  <a:gd name="T4" fmla="*/ 1 w 1"/>
                  <a:gd name="T5" fmla="*/ 0 h 6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2">
                    <a:moveTo>
                      <a:pt x="0" y="6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3" name="Freeform 379"/>
              <xdr:cNvSpPr>
                <a:spLocks noChangeAspect="1"/>
              </xdr:cNvSpPr>
            </xdr:nvSpPr>
            <xdr:spPr bwMode="auto">
              <a:xfrm>
                <a:off x="2354" y="3510"/>
                <a:ext cx="4" cy="0"/>
              </a:xfrm>
              <a:custGeom>
                <a:avLst/>
                <a:gdLst>
                  <a:gd name="T0" fmla="*/ 0 w 30"/>
                  <a:gd name="T1" fmla="*/ 1 w 30"/>
                  <a:gd name="T2" fmla="*/ 1 w 3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">
                    <a:moveTo>
                      <a:pt x="0" y="0"/>
                    </a:moveTo>
                    <a:lnTo>
                      <a:pt x="29" y="0"/>
                    </a:lnTo>
                    <a:lnTo>
                      <a:pt x="3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4" name="Freeform 380"/>
              <xdr:cNvSpPr>
                <a:spLocks noChangeAspect="1"/>
              </xdr:cNvSpPr>
            </xdr:nvSpPr>
            <xdr:spPr bwMode="auto">
              <a:xfrm>
                <a:off x="2351" y="3490"/>
                <a:ext cx="0" cy="6"/>
              </a:xfrm>
              <a:custGeom>
                <a:avLst/>
                <a:gdLst>
                  <a:gd name="T0" fmla="*/ 0 w 1"/>
                  <a:gd name="T1" fmla="*/ 0 h 41"/>
                  <a:gd name="T2" fmla="*/ 0 w 1"/>
                  <a:gd name="T3" fmla="*/ 1 h 41"/>
                  <a:gd name="T4" fmla="*/ 1 w 1"/>
                  <a:gd name="T5" fmla="*/ 1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0"/>
                    </a:moveTo>
                    <a:lnTo>
                      <a:pt x="0" y="41"/>
                    </a:lnTo>
                    <a:lnTo>
                      <a:pt x="1" y="41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5" name="Freeform 381"/>
              <xdr:cNvSpPr>
                <a:spLocks noChangeAspect="1"/>
              </xdr:cNvSpPr>
            </xdr:nvSpPr>
            <xdr:spPr bwMode="auto">
              <a:xfrm>
                <a:off x="2315" y="3516"/>
                <a:ext cx="2" cy="6"/>
              </a:xfrm>
              <a:custGeom>
                <a:avLst/>
                <a:gdLst>
                  <a:gd name="T0" fmla="*/ 0 w 16"/>
                  <a:gd name="T1" fmla="*/ 1 h 39"/>
                  <a:gd name="T2" fmla="*/ 0 w 16"/>
                  <a:gd name="T3" fmla="*/ 0 h 39"/>
                  <a:gd name="T4" fmla="*/ 0 w 16"/>
                  <a:gd name="T5" fmla="*/ 0 h 3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6" h="39">
                    <a:moveTo>
                      <a:pt x="16" y="39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6" name="Freeform 382"/>
              <xdr:cNvSpPr>
                <a:spLocks noChangeAspect="1"/>
              </xdr:cNvSpPr>
            </xdr:nvSpPr>
            <xdr:spPr bwMode="auto">
              <a:xfrm>
                <a:off x="2319" y="3536"/>
                <a:ext cx="5" cy="1"/>
              </a:xfrm>
              <a:custGeom>
                <a:avLst/>
                <a:gdLst>
                  <a:gd name="T0" fmla="*/ 1 w 38"/>
                  <a:gd name="T1" fmla="*/ 0 h 13"/>
                  <a:gd name="T2" fmla="*/ 1 w 38"/>
                  <a:gd name="T3" fmla="*/ 0 h 13"/>
                  <a:gd name="T4" fmla="*/ 0 w 38"/>
                  <a:gd name="T5" fmla="*/ 0 h 13"/>
                  <a:gd name="T6" fmla="*/ 1 w 38"/>
                  <a:gd name="T7" fmla="*/ 0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8" h="13">
                    <a:moveTo>
                      <a:pt x="38" y="0"/>
                    </a:moveTo>
                    <a:lnTo>
                      <a:pt x="38" y="13"/>
                    </a:lnTo>
                    <a:lnTo>
                      <a:pt x="0" y="7"/>
                    </a:lnTo>
                    <a:lnTo>
                      <a:pt x="38" y="0"/>
                    </a:lnTo>
                    <a:close/>
                  </a:path>
                </a:pathLst>
              </a:custGeom>
              <a:solidFill>
                <a:srgbClr val="00000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07" name="Freeform 383"/>
              <xdr:cNvSpPr>
                <a:spLocks noChangeAspect="1"/>
              </xdr:cNvSpPr>
            </xdr:nvSpPr>
            <xdr:spPr bwMode="auto">
              <a:xfrm>
                <a:off x="2319" y="3536"/>
                <a:ext cx="5" cy="1"/>
              </a:xfrm>
              <a:custGeom>
                <a:avLst/>
                <a:gdLst>
                  <a:gd name="T0" fmla="*/ 1 w 38"/>
                  <a:gd name="T1" fmla="*/ 0 h 13"/>
                  <a:gd name="T2" fmla="*/ 1 w 38"/>
                  <a:gd name="T3" fmla="*/ 0 h 13"/>
                  <a:gd name="T4" fmla="*/ 0 w 38"/>
                  <a:gd name="T5" fmla="*/ 0 h 13"/>
                  <a:gd name="T6" fmla="*/ 1 w 38"/>
                  <a:gd name="T7" fmla="*/ 0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8" h="13">
                    <a:moveTo>
                      <a:pt x="38" y="0"/>
                    </a:moveTo>
                    <a:lnTo>
                      <a:pt x="38" y="13"/>
                    </a:lnTo>
                    <a:lnTo>
                      <a:pt x="0" y="7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8" name="Freeform 384"/>
              <xdr:cNvSpPr>
                <a:spLocks noChangeAspect="1"/>
              </xdr:cNvSpPr>
            </xdr:nvSpPr>
            <xdr:spPr bwMode="auto">
              <a:xfrm>
                <a:off x="2295" y="3523"/>
                <a:ext cx="0" cy="27"/>
              </a:xfrm>
              <a:custGeom>
                <a:avLst/>
                <a:gdLst>
                  <a:gd name="T0" fmla="*/ 0 w 1"/>
                  <a:gd name="T1" fmla="*/ 0 h 192"/>
                  <a:gd name="T2" fmla="*/ 0 w 1"/>
                  <a:gd name="T3" fmla="*/ 4 h 192"/>
                  <a:gd name="T4" fmla="*/ 1 w 1"/>
                  <a:gd name="T5" fmla="*/ 4 h 1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2">
                    <a:moveTo>
                      <a:pt x="0" y="0"/>
                    </a:moveTo>
                    <a:lnTo>
                      <a:pt x="0" y="192"/>
                    </a:lnTo>
                    <a:lnTo>
                      <a:pt x="1" y="19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9" name="Freeform 385"/>
              <xdr:cNvSpPr>
                <a:spLocks noChangeAspect="1"/>
              </xdr:cNvSpPr>
            </xdr:nvSpPr>
            <xdr:spPr bwMode="auto">
              <a:xfrm>
                <a:off x="2295" y="3550"/>
                <a:ext cx="17" cy="0"/>
              </a:xfrm>
              <a:custGeom>
                <a:avLst/>
                <a:gdLst>
                  <a:gd name="T0" fmla="*/ 0 w 137"/>
                  <a:gd name="T1" fmla="*/ 2 w 137"/>
                  <a:gd name="T2" fmla="*/ 2 w 13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37">
                    <a:moveTo>
                      <a:pt x="0" y="0"/>
                    </a:moveTo>
                    <a:lnTo>
                      <a:pt x="136" y="0"/>
                    </a:lnTo>
                    <a:lnTo>
                      <a:pt x="1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0" name="Freeform 386"/>
              <xdr:cNvSpPr>
                <a:spLocks noChangeAspect="1"/>
              </xdr:cNvSpPr>
            </xdr:nvSpPr>
            <xdr:spPr bwMode="auto">
              <a:xfrm>
                <a:off x="2293" y="3546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1" name="Freeform 387"/>
              <xdr:cNvSpPr>
                <a:spLocks noChangeAspect="1"/>
              </xdr:cNvSpPr>
            </xdr:nvSpPr>
            <xdr:spPr bwMode="auto">
              <a:xfrm>
                <a:off x="2312" y="3547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2" name="Freeform 388"/>
              <xdr:cNvSpPr>
                <a:spLocks noChangeAspect="1"/>
              </xdr:cNvSpPr>
            </xdr:nvSpPr>
            <xdr:spPr bwMode="auto">
              <a:xfrm>
                <a:off x="2315" y="3551"/>
                <a:ext cx="2" cy="6"/>
              </a:xfrm>
              <a:custGeom>
                <a:avLst/>
                <a:gdLst>
                  <a:gd name="T0" fmla="*/ 0 w 16"/>
                  <a:gd name="T1" fmla="*/ 0 h 38"/>
                  <a:gd name="T2" fmla="*/ 0 w 16"/>
                  <a:gd name="T3" fmla="*/ 1 h 38"/>
                  <a:gd name="T4" fmla="*/ 0 w 16"/>
                  <a:gd name="T5" fmla="*/ 1 h 3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6" h="38">
                    <a:moveTo>
                      <a:pt x="16" y="0"/>
                    </a:moveTo>
                    <a:lnTo>
                      <a:pt x="0" y="38"/>
                    </a:lnTo>
                    <a:lnTo>
                      <a:pt x="1" y="38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3" name="Freeform 389"/>
              <xdr:cNvSpPr>
                <a:spLocks noChangeAspect="1"/>
              </xdr:cNvSpPr>
            </xdr:nvSpPr>
            <xdr:spPr bwMode="auto">
              <a:xfrm>
                <a:off x="2315" y="3547"/>
                <a:ext cx="2" cy="2"/>
              </a:xfrm>
              <a:custGeom>
                <a:avLst/>
                <a:gdLst>
                  <a:gd name="T0" fmla="*/ 0 w 14"/>
                  <a:gd name="T1" fmla="*/ 0 h 14"/>
                  <a:gd name="T2" fmla="*/ 0 w 14"/>
                  <a:gd name="T3" fmla="*/ 0 h 14"/>
                  <a:gd name="T4" fmla="*/ 0 w 14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4" h="14">
                    <a:moveTo>
                      <a:pt x="0" y="0"/>
                    </a:moveTo>
                    <a:lnTo>
                      <a:pt x="13" y="14"/>
                    </a:lnTo>
                    <a:lnTo>
                      <a:pt x="14" y="1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4" name="Freeform 390"/>
              <xdr:cNvSpPr>
                <a:spLocks noChangeAspect="1"/>
              </xdr:cNvSpPr>
            </xdr:nvSpPr>
            <xdr:spPr bwMode="auto">
              <a:xfrm>
                <a:off x="2317" y="3549"/>
                <a:ext cx="0" cy="2"/>
              </a:xfrm>
              <a:custGeom>
                <a:avLst/>
                <a:gdLst>
                  <a:gd name="T0" fmla="*/ 1 w 2"/>
                  <a:gd name="T1" fmla="*/ 0 h 16"/>
                  <a:gd name="T2" fmla="*/ 0 w 2"/>
                  <a:gd name="T3" fmla="*/ 0 h 16"/>
                  <a:gd name="T4" fmla="*/ 1 w 2"/>
                  <a:gd name="T5" fmla="*/ 0 h 1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16">
                    <a:moveTo>
                      <a:pt x="2" y="0"/>
                    </a:moveTo>
                    <a:lnTo>
                      <a:pt x="0" y="16"/>
                    </a:lnTo>
                    <a:lnTo>
                      <a:pt x="1" y="1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5" name="Freeform 391"/>
              <xdr:cNvSpPr>
                <a:spLocks noChangeAspect="1"/>
              </xdr:cNvSpPr>
            </xdr:nvSpPr>
            <xdr:spPr bwMode="auto">
              <a:xfrm>
                <a:off x="2315" y="3557"/>
                <a:ext cx="1" cy="3"/>
              </a:xfrm>
              <a:custGeom>
                <a:avLst/>
                <a:gdLst>
                  <a:gd name="T0" fmla="*/ 0 w 8"/>
                  <a:gd name="T1" fmla="*/ 0 h 23"/>
                  <a:gd name="T2" fmla="*/ 0 w 8"/>
                  <a:gd name="T3" fmla="*/ 0 h 23"/>
                  <a:gd name="T4" fmla="*/ 0 w 8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23">
                    <a:moveTo>
                      <a:pt x="0" y="0"/>
                    </a:moveTo>
                    <a:lnTo>
                      <a:pt x="7" y="23"/>
                    </a:lnTo>
                    <a:lnTo>
                      <a:pt x="8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6" name="Freeform 392"/>
              <xdr:cNvSpPr>
                <a:spLocks noChangeAspect="1"/>
              </xdr:cNvSpPr>
            </xdr:nvSpPr>
            <xdr:spPr bwMode="auto">
              <a:xfrm>
                <a:off x="2319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7" name="Freeform 393"/>
              <xdr:cNvSpPr>
                <a:spLocks noChangeAspect="1"/>
              </xdr:cNvSpPr>
            </xdr:nvSpPr>
            <xdr:spPr bwMode="auto">
              <a:xfrm>
                <a:off x="2295" y="3523"/>
                <a:ext cx="17" cy="0"/>
              </a:xfrm>
              <a:custGeom>
                <a:avLst/>
                <a:gdLst>
                  <a:gd name="T0" fmla="*/ 0 w 137"/>
                  <a:gd name="T1" fmla="*/ 2 w 137"/>
                  <a:gd name="T2" fmla="*/ 2 w 13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37">
                    <a:moveTo>
                      <a:pt x="0" y="0"/>
                    </a:moveTo>
                    <a:lnTo>
                      <a:pt x="136" y="0"/>
                    </a:lnTo>
                    <a:lnTo>
                      <a:pt x="1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8" name="Freeform 394"/>
              <xdr:cNvSpPr>
                <a:spLocks noChangeAspect="1"/>
              </xdr:cNvSpPr>
            </xdr:nvSpPr>
            <xdr:spPr bwMode="auto">
              <a:xfrm>
                <a:off x="2293" y="3527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9" name="Freeform 395"/>
              <xdr:cNvSpPr>
                <a:spLocks noChangeAspect="1"/>
              </xdr:cNvSpPr>
            </xdr:nvSpPr>
            <xdr:spPr bwMode="auto">
              <a:xfrm>
                <a:off x="2312" y="3523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0"/>
                    </a:moveTo>
                    <a:lnTo>
                      <a:pt x="23" y="22"/>
                    </a:lnTo>
                    <a:lnTo>
                      <a:pt x="24" y="2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0" name="Freeform 396"/>
              <xdr:cNvSpPr>
                <a:spLocks noChangeAspect="1"/>
              </xdr:cNvSpPr>
            </xdr:nvSpPr>
            <xdr:spPr bwMode="auto">
              <a:xfrm>
                <a:off x="2315" y="3524"/>
                <a:ext cx="2" cy="2"/>
              </a:xfrm>
              <a:custGeom>
                <a:avLst/>
                <a:gdLst>
                  <a:gd name="T0" fmla="*/ 0 w 14"/>
                  <a:gd name="T1" fmla="*/ 0 h 14"/>
                  <a:gd name="T2" fmla="*/ 0 w 14"/>
                  <a:gd name="T3" fmla="*/ 0 h 14"/>
                  <a:gd name="T4" fmla="*/ 0 w 14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4" h="14">
                    <a:moveTo>
                      <a:pt x="0" y="14"/>
                    </a:moveTo>
                    <a:lnTo>
                      <a:pt x="13" y="0"/>
                    </a:lnTo>
                    <a:lnTo>
                      <a:pt x="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1" name="Freeform 397"/>
              <xdr:cNvSpPr>
                <a:spLocks noChangeAspect="1"/>
              </xdr:cNvSpPr>
            </xdr:nvSpPr>
            <xdr:spPr bwMode="auto">
              <a:xfrm>
                <a:off x="2317" y="3522"/>
                <a:ext cx="0" cy="2"/>
              </a:xfrm>
              <a:custGeom>
                <a:avLst/>
                <a:gdLst>
                  <a:gd name="T0" fmla="*/ 1 w 2"/>
                  <a:gd name="T1" fmla="*/ 0 h 15"/>
                  <a:gd name="T2" fmla="*/ 0 w 2"/>
                  <a:gd name="T3" fmla="*/ 0 h 15"/>
                  <a:gd name="T4" fmla="*/ 1 w 2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15">
                    <a:moveTo>
                      <a:pt x="2" y="1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2" name="Freeform 398"/>
              <xdr:cNvSpPr>
                <a:spLocks noChangeAspect="1"/>
              </xdr:cNvSpPr>
            </xdr:nvSpPr>
            <xdr:spPr bwMode="auto">
              <a:xfrm>
                <a:off x="2323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3" name="Freeform 399"/>
              <xdr:cNvSpPr>
                <a:spLocks noChangeAspect="1"/>
              </xdr:cNvSpPr>
            </xdr:nvSpPr>
            <xdr:spPr bwMode="auto">
              <a:xfrm>
                <a:off x="2315" y="3513"/>
                <a:ext cx="1" cy="3"/>
              </a:xfrm>
              <a:custGeom>
                <a:avLst/>
                <a:gdLst>
                  <a:gd name="T0" fmla="*/ 0 w 8"/>
                  <a:gd name="T1" fmla="*/ 0 h 23"/>
                  <a:gd name="T2" fmla="*/ 0 w 8"/>
                  <a:gd name="T3" fmla="*/ 0 h 23"/>
                  <a:gd name="T4" fmla="*/ 0 w 8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23">
                    <a:moveTo>
                      <a:pt x="0" y="23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4" name="Freeform 400"/>
              <xdr:cNvSpPr>
                <a:spLocks noChangeAspect="1"/>
              </xdr:cNvSpPr>
            </xdr:nvSpPr>
            <xdr:spPr bwMode="auto">
              <a:xfrm>
                <a:off x="2319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5" name="Freeform 401"/>
              <xdr:cNvSpPr>
                <a:spLocks noChangeAspect="1"/>
              </xdr:cNvSpPr>
            </xdr:nvSpPr>
            <xdr:spPr bwMode="auto">
              <a:xfrm>
                <a:off x="2316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6" name="Freeform 402"/>
              <xdr:cNvSpPr>
                <a:spLocks noChangeAspect="1"/>
              </xdr:cNvSpPr>
            </xdr:nvSpPr>
            <xdr:spPr bwMode="auto">
              <a:xfrm>
                <a:off x="231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7" name="Freeform 403"/>
              <xdr:cNvSpPr>
                <a:spLocks noChangeAspect="1"/>
              </xdr:cNvSpPr>
            </xdr:nvSpPr>
            <xdr:spPr bwMode="auto">
              <a:xfrm>
                <a:off x="2319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8" name="Freeform 404"/>
              <xdr:cNvSpPr>
                <a:spLocks noChangeAspect="1"/>
              </xdr:cNvSpPr>
            </xdr:nvSpPr>
            <xdr:spPr bwMode="auto">
              <a:xfrm>
                <a:off x="2313" y="3490"/>
                <a:ext cx="0" cy="6"/>
              </a:xfrm>
              <a:custGeom>
                <a:avLst/>
                <a:gdLst>
                  <a:gd name="T0" fmla="*/ 0 w 1"/>
                  <a:gd name="T1" fmla="*/ 0 h 41"/>
                  <a:gd name="T2" fmla="*/ 0 w 1"/>
                  <a:gd name="T3" fmla="*/ 1 h 41"/>
                  <a:gd name="T4" fmla="*/ 1 w 1"/>
                  <a:gd name="T5" fmla="*/ 1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0"/>
                    </a:moveTo>
                    <a:lnTo>
                      <a:pt x="0" y="41"/>
                    </a:lnTo>
                    <a:lnTo>
                      <a:pt x="1" y="41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9" name="Freeform 405"/>
              <xdr:cNvSpPr>
                <a:spLocks noChangeAspect="1"/>
              </xdr:cNvSpPr>
            </xdr:nvSpPr>
            <xdr:spPr bwMode="auto">
              <a:xfrm>
                <a:off x="2320" y="3496"/>
                <a:ext cx="0" cy="3"/>
              </a:xfrm>
              <a:custGeom>
                <a:avLst/>
                <a:gdLst>
                  <a:gd name="T0" fmla="*/ 0 w 1"/>
                  <a:gd name="T1" fmla="*/ 0 h 24"/>
                  <a:gd name="T2" fmla="*/ 0 w 1"/>
                  <a:gd name="T3" fmla="*/ 0 h 24"/>
                  <a:gd name="T4" fmla="*/ 1 w 1"/>
                  <a:gd name="T5" fmla="*/ 0 h 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4">
                    <a:moveTo>
                      <a:pt x="0" y="0"/>
                    </a:moveTo>
                    <a:lnTo>
                      <a:pt x="0" y="24"/>
                    </a:lnTo>
                    <a:lnTo>
                      <a:pt x="1" y="2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0" name="Freeform 406"/>
              <xdr:cNvSpPr>
                <a:spLocks noChangeAspect="1"/>
              </xdr:cNvSpPr>
            </xdr:nvSpPr>
            <xdr:spPr bwMode="auto">
              <a:xfrm>
                <a:off x="2323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1" name="Freeform 407"/>
              <xdr:cNvSpPr>
                <a:spLocks noChangeAspect="1"/>
              </xdr:cNvSpPr>
            </xdr:nvSpPr>
            <xdr:spPr bwMode="auto">
              <a:xfrm>
                <a:off x="2325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2" name="Freeform 408"/>
              <xdr:cNvSpPr>
                <a:spLocks noChangeAspect="1"/>
              </xdr:cNvSpPr>
            </xdr:nvSpPr>
            <xdr:spPr bwMode="auto">
              <a:xfrm>
                <a:off x="2321" y="3490"/>
                <a:ext cx="0" cy="6"/>
              </a:xfrm>
              <a:custGeom>
                <a:avLst/>
                <a:gdLst>
                  <a:gd name="T0" fmla="*/ 0 w 1"/>
                  <a:gd name="T1" fmla="*/ 1 h 41"/>
                  <a:gd name="T2" fmla="*/ 0 w 1"/>
                  <a:gd name="T3" fmla="*/ 0 h 41"/>
                  <a:gd name="T4" fmla="*/ 1 w 1"/>
                  <a:gd name="T5" fmla="*/ 0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4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3" name="Freeform 409"/>
              <xdr:cNvSpPr>
                <a:spLocks noChangeAspect="1"/>
              </xdr:cNvSpPr>
            </xdr:nvSpPr>
            <xdr:spPr bwMode="auto">
              <a:xfrm>
                <a:off x="2315" y="3557"/>
                <a:ext cx="34" cy="0"/>
              </a:xfrm>
              <a:custGeom>
                <a:avLst/>
                <a:gdLst>
                  <a:gd name="T0" fmla="*/ 0 w 267"/>
                  <a:gd name="T1" fmla="*/ 4 w 267"/>
                  <a:gd name="T2" fmla="*/ 4 w 26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7">
                    <a:moveTo>
                      <a:pt x="0" y="0"/>
                    </a:moveTo>
                    <a:lnTo>
                      <a:pt x="266" y="0"/>
                    </a:lnTo>
                    <a:lnTo>
                      <a:pt x="2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4" name="Freeform 410"/>
              <xdr:cNvSpPr>
                <a:spLocks noChangeAspect="1"/>
              </xdr:cNvSpPr>
            </xdr:nvSpPr>
            <xdr:spPr bwMode="auto">
              <a:xfrm>
                <a:off x="2316" y="3560"/>
                <a:ext cx="32" cy="0"/>
              </a:xfrm>
              <a:custGeom>
                <a:avLst/>
                <a:gdLst>
                  <a:gd name="T0" fmla="*/ 0 w 253"/>
                  <a:gd name="T1" fmla="*/ 4 w 253"/>
                  <a:gd name="T2" fmla="*/ 4 w 2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3">
                    <a:moveTo>
                      <a:pt x="0" y="0"/>
                    </a:moveTo>
                    <a:lnTo>
                      <a:pt x="252" y="0"/>
                    </a:lnTo>
                    <a:lnTo>
                      <a:pt x="2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5" name="Freeform 411"/>
              <xdr:cNvSpPr>
                <a:spLocks noChangeAspect="1"/>
              </xdr:cNvSpPr>
            </xdr:nvSpPr>
            <xdr:spPr bwMode="auto">
              <a:xfrm>
                <a:off x="2320" y="3523"/>
                <a:ext cx="24" cy="27"/>
              </a:xfrm>
              <a:custGeom>
                <a:avLst/>
                <a:gdLst>
                  <a:gd name="T0" fmla="*/ 3 w 196"/>
                  <a:gd name="T1" fmla="*/ 2 h 193"/>
                  <a:gd name="T2" fmla="*/ 3 w 196"/>
                  <a:gd name="T3" fmla="*/ 1 h 193"/>
                  <a:gd name="T4" fmla="*/ 2 w 196"/>
                  <a:gd name="T5" fmla="*/ 0 h 193"/>
                  <a:gd name="T6" fmla="*/ 1 w 196"/>
                  <a:gd name="T7" fmla="*/ 0 h 193"/>
                  <a:gd name="T8" fmla="*/ 1 w 196"/>
                  <a:gd name="T9" fmla="*/ 0 h 193"/>
                  <a:gd name="T10" fmla="*/ 0 w 196"/>
                  <a:gd name="T11" fmla="*/ 1 h 193"/>
                  <a:gd name="T12" fmla="*/ 0 w 196"/>
                  <a:gd name="T13" fmla="*/ 2 h 193"/>
                  <a:gd name="T14" fmla="*/ 0 w 196"/>
                  <a:gd name="T15" fmla="*/ 3 h 193"/>
                  <a:gd name="T16" fmla="*/ 1 w 196"/>
                  <a:gd name="T17" fmla="*/ 3 h 193"/>
                  <a:gd name="T18" fmla="*/ 1 w 196"/>
                  <a:gd name="T19" fmla="*/ 4 h 193"/>
                  <a:gd name="T20" fmla="*/ 2 w 196"/>
                  <a:gd name="T21" fmla="*/ 3 h 193"/>
                  <a:gd name="T22" fmla="*/ 3 w 196"/>
                  <a:gd name="T23" fmla="*/ 3 h 193"/>
                  <a:gd name="T24" fmla="*/ 3 w 196"/>
                  <a:gd name="T25" fmla="*/ 2 h 193"/>
                  <a:gd name="T26" fmla="*/ 3 w 196"/>
                  <a:gd name="T27" fmla="*/ 2 h 193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0" t="0" r="r" b="b"/>
                <a:pathLst>
                  <a:path w="196" h="193">
                    <a:moveTo>
                      <a:pt x="194" y="97"/>
                    </a:moveTo>
                    <a:lnTo>
                      <a:pt x="181" y="48"/>
                    </a:lnTo>
                    <a:lnTo>
                      <a:pt x="146" y="13"/>
                    </a:lnTo>
                    <a:lnTo>
                      <a:pt x="97" y="0"/>
                    </a:lnTo>
                    <a:lnTo>
                      <a:pt x="48" y="13"/>
                    </a:lnTo>
                    <a:lnTo>
                      <a:pt x="13" y="48"/>
                    </a:lnTo>
                    <a:lnTo>
                      <a:pt x="0" y="97"/>
                    </a:lnTo>
                    <a:lnTo>
                      <a:pt x="13" y="145"/>
                    </a:lnTo>
                    <a:lnTo>
                      <a:pt x="48" y="180"/>
                    </a:lnTo>
                    <a:lnTo>
                      <a:pt x="97" y="193"/>
                    </a:lnTo>
                    <a:lnTo>
                      <a:pt x="146" y="180"/>
                    </a:lnTo>
                    <a:lnTo>
                      <a:pt x="181" y="145"/>
                    </a:lnTo>
                    <a:lnTo>
                      <a:pt x="194" y="97"/>
                    </a:lnTo>
                    <a:lnTo>
                      <a:pt x="196" y="9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6" name="Freeform 412"/>
              <xdr:cNvSpPr>
                <a:spLocks noChangeAspect="1"/>
              </xdr:cNvSpPr>
            </xdr:nvSpPr>
            <xdr:spPr bwMode="auto">
              <a:xfrm>
                <a:off x="2322" y="3542"/>
                <a:ext cx="2" cy="2"/>
              </a:xfrm>
              <a:custGeom>
                <a:avLst/>
                <a:gdLst>
                  <a:gd name="T0" fmla="*/ 0 w 21"/>
                  <a:gd name="T1" fmla="*/ 0 h 19"/>
                  <a:gd name="T2" fmla="*/ 0 w 21"/>
                  <a:gd name="T3" fmla="*/ 0 h 19"/>
                  <a:gd name="T4" fmla="*/ 0 w 21"/>
                  <a:gd name="T5" fmla="*/ 0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1" h="19">
                    <a:moveTo>
                      <a:pt x="0" y="19"/>
                    </a:moveTo>
                    <a:lnTo>
                      <a:pt x="19" y="0"/>
                    </a:lnTo>
                    <a:lnTo>
                      <a:pt x="2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7" name="Freeform 413"/>
              <xdr:cNvSpPr>
                <a:spLocks noChangeAspect="1"/>
              </xdr:cNvSpPr>
            </xdr:nvSpPr>
            <xdr:spPr bwMode="auto">
              <a:xfrm>
                <a:off x="2337" y="3525"/>
                <a:ext cx="2" cy="3"/>
              </a:xfrm>
              <a:custGeom>
                <a:avLst/>
                <a:gdLst>
                  <a:gd name="T0" fmla="*/ 0 w 19"/>
                  <a:gd name="T1" fmla="*/ 0 h 19"/>
                  <a:gd name="T2" fmla="*/ 0 w 19"/>
                  <a:gd name="T3" fmla="*/ 0 h 19"/>
                  <a:gd name="T4" fmla="*/ 0 w 19"/>
                  <a:gd name="T5" fmla="*/ 0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19">
                    <a:moveTo>
                      <a:pt x="0" y="19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8" name="Freeform 414"/>
              <xdr:cNvSpPr>
                <a:spLocks noChangeAspect="1"/>
              </xdr:cNvSpPr>
            </xdr:nvSpPr>
            <xdr:spPr bwMode="auto">
              <a:xfrm>
                <a:off x="2322" y="3542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9" name="Freeform 415"/>
              <xdr:cNvSpPr>
                <a:spLocks noChangeAspect="1"/>
              </xdr:cNvSpPr>
            </xdr:nvSpPr>
            <xdr:spPr bwMode="auto">
              <a:xfrm>
                <a:off x="2337" y="3526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0" name="Freeform 416"/>
              <xdr:cNvSpPr>
                <a:spLocks noChangeAspect="1"/>
              </xdr:cNvSpPr>
            </xdr:nvSpPr>
            <xdr:spPr bwMode="auto">
              <a:xfrm>
                <a:off x="2323" y="3542"/>
                <a:ext cx="3" cy="4"/>
              </a:xfrm>
              <a:custGeom>
                <a:avLst/>
                <a:gdLst>
                  <a:gd name="T0" fmla="*/ 0 w 29"/>
                  <a:gd name="T1" fmla="*/ 1 h 27"/>
                  <a:gd name="T2" fmla="*/ 0 w 29"/>
                  <a:gd name="T3" fmla="*/ 0 h 27"/>
                  <a:gd name="T4" fmla="*/ 0 w 29"/>
                  <a:gd name="T5" fmla="*/ 0 h 2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9" h="27">
                    <a:moveTo>
                      <a:pt x="0" y="27"/>
                    </a:move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1" name="Freeform 417"/>
              <xdr:cNvSpPr>
                <a:spLocks noChangeAspect="1"/>
              </xdr:cNvSpPr>
            </xdr:nvSpPr>
            <xdr:spPr bwMode="auto">
              <a:xfrm>
                <a:off x="2337" y="3526"/>
                <a:ext cx="3" cy="4"/>
              </a:xfrm>
              <a:custGeom>
                <a:avLst/>
                <a:gdLst>
                  <a:gd name="T0" fmla="*/ 0 w 27"/>
                  <a:gd name="T1" fmla="*/ 1 h 26"/>
                  <a:gd name="T2" fmla="*/ 0 w 27"/>
                  <a:gd name="T3" fmla="*/ 0 h 26"/>
                  <a:gd name="T4" fmla="*/ 0 w 27"/>
                  <a:gd name="T5" fmla="*/ 0 h 2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7" h="26">
                    <a:moveTo>
                      <a:pt x="0" y="26"/>
                    </a:moveTo>
                    <a:lnTo>
                      <a:pt x="26" y="0"/>
                    </a:lnTo>
                    <a:lnTo>
                      <a:pt x="2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2" name="Freeform 418"/>
              <xdr:cNvSpPr>
                <a:spLocks noChangeAspect="1"/>
              </xdr:cNvSpPr>
            </xdr:nvSpPr>
            <xdr:spPr bwMode="auto">
              <a:xfrm>
                <a:off x="2323" y="3542"/>
                <a:ext cx="4" cy="4"/>
              </a:xfrm>
              <a:custGeom>
                <a:avLst/>
                <a:gdLst>
                  <a:gd name="T0" fmla="*/ 0 w 31"/>
                  <a:gd name="T1" fmla="*/ 1 h 30"/>
                  <a:gd name="T2" fmla="*/ 1 w 31"/>
                  <a:gd name="T3" fmla="*/ 0 h 30"/>
                  <a:gd name="T4" fmla="*/ 1 w 31"/>
                  <a:gd name="T5" fmla="*/ 0 h 3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30">
                    <a:moveTo>
                      <a:pt x="0" y="30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3" name="Freeform 419"/>
              <xdr:cNvSpPr>
                <a:spLocks noChangeAspect="1"/>
              </xdr:cNvSpPr>
            </xdr:nvSpPr>
            <xdr:spPr bwMode="auto">
              <a:xfrm>
                <a:off x="2337" y="3527"/>
                <a:ext cx="4" cy="4"/>
              </a:xfrm>
              <a:custGeom>
                <a:avLst/>
                <a:gdLst>
                  <a:gd name="T0" fmla="*/ 0 w 31"/>
                  <a:gd name="T1" fmla="*/ 1 h 30"/>
                  <a:gd name="T2" fmla="*/ 1 w 31"/>
                  <a:gd name="T3" fmla="*/ 0 h 30"/>
                  <a:gd name="T4" fmla="*/ 1 w 31"/>
                  <a:gd name="T5" fmla="*/ 0 h 3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30">
                    <a:moveTo>
                      <a:pt x="0" y="30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4" name="Freeform 420"/>
              <xdr:cNvSpPr>
                <a:spLocks noChangeAspect="1"/>
              </xdr:cNvSpPr>
            </xdr:nvSpPr>
            <xdr:spPr bwMode="auto">
              <a:xfrm>
                <a:off x="2324" y="3542"/>
                <a:ext cx="4" cy="4"/>
              </a:xfrm>
              <a:custGeom>
                <a:avLst/>
                <a:gdLst>
                  <a:gd name="T0" fmla="*/ 0 w 35"/>
                  <a:gd name="T1" fmla="*/ 0 h 33"/>
                  <a:gd name="T2" fmla="*/ 0 w 35"/>
                  <a:gd name="T3" fmla="*/ 0 h 33"/>
                  <a:gd name="T4" fmla="*/ 0 w 35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5" h="33">
                    <a:moveTo>
                      <a:pt x="0" y="33"/>
                    </a:moveTo>
                    <a:lnTo>
                      <a:pt x="34" y="0"/>
                    </a:lnTo>
                    <a:lnTo>
                      <a:pt x="3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5" name="Freeform 421"/>
              <xdr:cNvSpPr>
                <a:spLocks noChangeAspect="1"/>
              </xdr:cNvSpPr>
            </xdr:nvSpPr>
            <xdr:spPr bwMode="auto">
              <a:xfrm>
                <a:off x="2337" y="3527"/>
                <a:ext cx="4" cy="5"/>
              </a:xfrm>
              <a:custGeom>
                <a:avLst/>
                <a:gdLst>
                  <a:gd name="T0" fmla="*/ 0 w 35"/>
                  <a:gd name="T1" fmla="*/ 1 h 33"/>
                  <a:gd name="T2" fmla="*/ 0 w 35"/>
                  <a:gd name="T3" fmla="*/ 0 h 33"/>
                  <a:gd name="T4" fmla="*/ 0 w 35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5" h="33">
                    <a:moveTo>
                      <a:pt x="0" y="33"/>
                    </a:moveTo>
                    <a:lnTo>
                      <a:pt x="34" y="0"/>
                    </a:lnTo>
                    <a:lnTo>
                      <a:pt x="3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6" name="Freeform 422"/>
              <xdr:cNvSpPr>
                <a:spLocks noChangeAspect="1"/>
              </xdr:cNvSpPr>
            </xdr:nvSpPr>
            <xdr:spPr bwMode="auto">
              <a:xfrm>
                <a:off x="2324" y="3542"/>
                <a:ext cx="5" cy="5"/>
              </a:xfrm>
              <a:custGeom>
                <a:avLst/>
                <a:gdLst>
                  <a:gd name="T0" fmla="*/ 0 w 38"/>
                  <a:gd name="T1" fmla="*/ 1 h 36"/>
                  <a:gd name="T2" fmla="*/ 1 w 38"/>
                  <a:gd name="T3" fmla="*/ 0 h 36"/>
                  <a:gd name="T4" fmla="*/ 1 w 38"/>
                  <a:gd name="T5" fmla="*/ 0 h 3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8" h="36">
                    <a:moveTo>
                      <a:pt x="0" y="36"/>
                    </a:moveTo>
                    <a:lnTo>
                      <a:pt x="37" y="0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7" name="Freeform 423"/>
              <xdr:cNvSpPr>
                <a:spLocks noChangeAspect="1"/>
              </xdr:cNvSpPr>
            </xdr:nvSpPr>
            <xdr:spPr bwMode="auto">
              <a:xfrm>
                <a:off x="2337" y="3528"/>
                <a:ext cx="4" cy="5"/>
              </a:xfrm>
              <a:custGeom>
                <a:avLst/>
                <a:gdLst>
                  <a:gd name="T0" fmla="*/ 0 w 38"/>
                  <a:gd name="T1" fmla="*/ 1 h 36"/>
                  <a:gd name="T2" fmla="*/ 0 w 38"/>
                  <a:gd name="T3" fmla="*/ 0 h 36"/>
                  <a:gd name="T4" fmla="*/ 0 w 38"/>
                  <a:gd name="T5" fmla="*/ 0 h 3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8" h="36">
                    <a:moveTo>
                      <a:pt x="0" y="36"/>
                    </a:moveTo>
                    <a:lnTo>
                      <a:pt x="37" y="0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8" name="Freeform 424"/>
              <xdr:cNvSpPr>
                <a:spLocks noChangeAspect="1"/>
              </xdr:cNvSpPr>
            </xdr:nvSpPr>
            <xdr:spPr bwMode="auto">
              <a:xfrm>
                <a:off x="2325" y="3542"/>
                <a:ext cx="5" cy="5"/>
              </a:xfrm>
              <a:custGeom>
                <a:avLst/>
                <a:gdLst>
                  <a:gd name="T0" fmla="*/ 0 w 41"/>
                  <a:gd name="T1" fmla="*/ 1 h 40"/>
                  <a:gd name="T2" fmla="*/ 1 w 41"/>
                  <a:gd name="T3" fmla="*/ 0 h 40"/>
                  <a:gd name="T4" fmla="*/ 1 w 41"/>
                  <a:gd name="T5" fmla="*/ 0 h 4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1" h="40">
                    <a:moveTo>
                      <a:pt x="0" y="40"/>
                    </a:moveTo>
                    <a:lnTo>
                      <a:pt x="40" y="0"/>
                    </a:lnTo>
                    <a:lnTo>
                      <a:pt x="4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9" name="Freeform 425"/>
              <xdr:cNvSpPr>
                <a:spLocks noChangeAspect="1"/>
              </xdr:cNvSpPr>
            </xdr:nvSpPr>
            <xdr:spPr bwMode="auto">
              <a:xfrm>
                <a:off x="2337" y="3528"/>
                <a:ext cx="5" cy="6"/>
              </a:xfrm>
              <a:custGeom>
                <a:avLst/>
                <a:gdLst>
                  <a:gd name="T0" fmla="*/ 0 w 41"/>
                  <a:gd name="T1" fmla="*/ 1 h 38"/>
                  <a:gd name="T2" fmla="*/ 1 w 41"/>
                  <a:gd name="T3" fmla="*/ 0 h 38"/>
                  <a:gd name="T4" fmla="*/ 1 w 41"/>
                  <a:gd name="T5" fmla="*/ 0 h 3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1" h="38">
                    <a:moveTo>
                      <a:pt x="0" y="38"/>
                    </a:moveTo>
                    <a:lnTo>
                      <a:pt x="40" y="0"/>
                    </a:lnTo>
                    <a:lnTo>
                      <a:pt x="4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0" name="Freeform 426"/>
              <xdr:cNvSpPr>
                <a:spLocks noChangeAspect="1"/>
              </xdr:cNvSpPr>
            </xdr:nvSpPr>
            <xdr:spPr bwMode="auto">
              <a:xfrm>
                <a:off x="2325" y="3542"/>
                <a:ext cx="6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1" name="Freeform 427"/>
              <xdr:cNvSpPr>
                <a:spLocks noChangeAspect="1"/>
              </xdr:cNvSpPr>
            </xdr:nvSpPr>
            <xdr:spPr bwMode="auto">
              <a:xfrm>
                <a:off x="2337" y="3529"/>
                <a:ext cx="5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2" name="Freeform 428"/>
              <xdr:cNvSpPr>
                <a:spLocks noChangeAspect="1"/>
              </xdr:cNvSpPr>
            </xdr:nvSpPr>
            <xdr:spPr bwMode="auto">
              <a:xfrm>
                <a:off x="2326" y="3542"/>
                <a:ext cx="5" cy="6"/>
              </a:xfrm>
              <a:custGeom>
                <a:avLst/>
                <a:gdLst>
                  <a:gd name="T0" fmla="*/ 0 w 47"/>
                  <a:gd name="T1" fmla="*/ 1 h 45"/>
                  <a:gd name="T2" fmla="*/ 1 w 47"/>
                  <a:gd name="T3" fmla="*/ 0 h 45"/>
                  <a:gd name="T4" fmla="*/ 1 w 47"/>
                  <a:gd name="T5" fmla="*/ 0 h 4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7" h="45">
                    <a:moveTo>
                      <a:pt x="0" y="45"/>
                    </a:moveTo>
                    <a:lnTo>
                      <a:pt x="46" y="0"/>
                    </a:lnTo>
                    <a:lnTo>
                      <a:pt x="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3" name="Freeform 429"/>
              <xdr:cNvSpPr>
                <a:spLocks noChangeAspect="1"/>
              </xdr:cNvSpPr>
            </xdr:nvSpPr>
            <xdr:spPr bwMode="auto">
              <a:xfrm>
                <a:off x="2337" y="3529"/>
                <a:ext cx="5" cy="7"/>
              </a:xfrm>
              <a:custGeom>
                <a:avLst/>
                <a:gdLst>
                  <a:gd name="T0" fmla="*/ 0 w 47"/>
                  <a:gd name="T1" fmla="*/ 1 h 46"/>
                  <a:gd name="T2" fmla="*/ 1 w 47"/>
                  <a:gd name="T3" fmla="*/ 0 h 46"/>
                  <a:gd name="T4" fmla="*/ 1 w 47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7" h="46">
                    <a:moveTo>
                      <a:pt x="0" y="46"/>
                    </a:moveTo>
                    <a:lnTo>
                      <a:pt x="45" y="0"/>
                    </a:lnTo>
                    <a:lnTo>
                      <a:pt x="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4" name="Freeform 430"/>
              <xdr:cNvSpPr>
                <a:spLocks noChangeAspect="1"/>
              </xdr:cNvSpPr>
            </xdr:nvSpPr>
            <xdr:spPr bwMode="auto">
              <a:xfrm>
                <a:off x="2326" y="3542"/>
                <a:ext cx="6" cy="7"/>
              </a:xfrm>
              <a:custGeom>
                <a:avLst/>
                <a:gdLst>
                  <a:gd name="T0" fmla="*/ 0 w 49"/>
                  <a:gd name="T1" fmla="*/ 1 h 48"/>
                  <a:gd name="T2" fmla="*/ 1 w 49"/>
                  <a:gd name="T3" fmla="*/ 0 h 48"/>
                  <a:gd name="T4" fmla="*/ 1 w 49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" h="48">
                    <a:moveTo>
                      <a:pt x="0" y="48"/>
                    </a:moveTo>
                    <a:lnTo>
                      <a:pt x="48" y="0"/>
                    </a:lnTo>
                    <a:lnTo>
                      <a:pt x="4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5" name="Freeform 431"/>
              <xdr:cNvSpPr>
                <a:spLocks noChangeAspect="1"/>
              </xdr:cNvSpPr>
            </xdr:nvSpPr>
            <xdr:spPr bwMode="auto">
              <a:xfrm>
                <a:off x="2337" y="3530"/>
                <a:ext cx="6" cy="7"/>
              </a:xfrm>
              <a:custGeom>
                <a:avLst/>
                <a:gdLst>
                  <a:gd name="T0" fmla="*/ 0 w 49"/>
                  <a:gd name="T1" fmla="*/ 1 h 47"/>
                  <a:gd name="T2" fmla="*/ 1 w 49"/>
                  <a:gd name="T3" fmla="*/ 0 h 47"/>
                  <a:gd name="T4" fmla="*/ 1 w 49"/>
                  <a:gd name="T5" fmla="*/ 0 h 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" h="47">
                    <a:moveTo>
                      <a:pt x="0" y="47"/>
                    </a:moveTo>
                    <a:lnTo>
                      <a:pt x="48" y="0"/>
                    </a:lnTo>
                    <a:lnTo>
                      <a:pt x="4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6" name="Freeform 432"/>
              <xdr:cNvSpPr>
                <a:spLocks noChangeAspect="1"/>
              </xdr:cNvSpPr>
            </xdr:nvSpPr>
            <xdr:spPr bwMode="auto">
              <a:xfrm>
                <a:off x="2327" y="3542"/>
                <a:ext cx="7" cy="7"/>
              </a:xfrm>
              <a:custGeom>
                <a:avLst/>
                <a:gdLst>
                  <a:gd name="T0" fmla="*/ 0 w 53"/>
                  <a:gd name="T1" fmla="*/ 1 h 51"/>
                  <a:gd name="T2" fmla="*/ 1 w 53"/>
                  <a:gd name="T3" fmla="*/ 0 h 51"/>
                  <a:gd name="T4" fmla="*/ 1 w 53"/>
                  <a:gd name="T5" fmla="*/ 0 h 5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1">
                    <a:moveTo>
                      <a:pt x="0" y="51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7" name="Freeform 433"/>
              <xdr:cNvSpPr>
                <a:spLocks noChangeAspect="1"/>
              </xdr:cNvSpPr>
            </xdr:nvSpPr>
            <xdr:spPr bwMode="auto">
              <a:xfrm>
                <a:off x="2336" y="3531"/>
                <a:ext cx="7" cy="7"/>
              </a:xfrm>
              <a:custGeom>
                <a:avLst/>
                <a:gdLst>
                  <a:gd name="T0" fmla="*/ 0 w 53"/>
                  <a:gd name="T1" fmla="*/ 1 h 51"/>
                  <a:gd name="T2" fmla="*/ 1 w 53"/>
                  <a:gd name="T3" fmla="*/ 0 h 51"/>
                  <a:gd name="T4" fmla="*/ 1 w 53"/>
                  <a:gd name="T5" fmla="*/ 0 h 5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1">
                    <a:moveTo>
                      <a:pt x="0" y="51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8" name="Freeform 434"/>
              <xdr:cNvSpPr>
                <a:spLocks noChangeAspect="1"/>
              </xdr:cNvSpPr>
            </xdr:nvSpPr>
            <xdr:spPr bwMode="auto">
              <a:xfrm>
                <a:off x="2327" y="3531"/>
                <a:ext cx="16" cy="18"/>
              </a:xfrm>
              <a:custGeom>
                <a:avLst/>
                <a:gdLst>
                  <a:gd name="T0" fmla="*/ 0 w 127"/>
                  <a:gd name="T1" fmla="*/ 3 h 124"/>
                  <a:gd name="T2" fmla="*/ 2 w 127"/>
                  <a:gd name="T3" fmla="*/ 0 h 124"/>
                  <a:gd name="T4" fmla="*/ 2 w 127"/>
                  <a:gd name="T5" fmla="*/ 0 h 1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27" h="124">
                    <a:moveTo>
                      <a:pt x="0" y="124"/>
                    </a:moveTo>
                    <a:lnTo>
                      <a:pt x="126" y="0"/>
                    </a:lnTo>
                    <a:lnTo>
                      <a:pt x="12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9" name="Freeform 435"/>
              <xdr:cNvSpPr>
                <a:spLocks noChangeAspect="1"/>
              </xdr:cNvSpPr>
            </xdr:nvSpPr>
            <xdr:spPr bwMode="auto">
              <a:xfrm>
                <a:off x="2328" y="3532"/>
                <a:ext cx="16" cy="17"/>
              </a:xfrm>
              <a:custGeom>
                <a:avLst/>
                <a:gdLst>
                  <a:gd name="T0" fmla="*/ 0 w 123"/>
                  <a:gd name="T1" fmla="*/ 2 h 119"/>
                  <a:gd name="T2" fmla="*/ 2 w 123"/>
                  <a:gd name="T3" fmla="*/ 0 h 119"/>
                  <a:gd name="T4" fmla="*/ 2 w 123"/>
                  <a:gd name="T5" fmla="*/ 0 h 1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23" h="119">
                    <a:moveTo>
                      <a:pt x="0" y="119"/>
                    </a:moveTo>
                    <a:lnTo>
                      <a:pt x="122" y="0"/>
                    </a:lnTo>
                    <a:lnTo>
                      <a:pt x="12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0" name="Freeform 436"/>
              <xdr:cNvSpPr>
                <a:spLocks noChangeAspect="1"/>
              </xdr:cNvSpPr>
            </xdr:nvSpPr>
            <xdr:spPr bwMode="auto">
              <a:xfrm>
                <a:off x="2329" y="3533"/>
                <a:ext cx="15" cy="17"/>
              </a:xfrm>
              <a:custGeom>
                <a:avLst/>
                <a:gdLst>
                  <a:gd name="T0" fmla="*/ 0 w 119"/>
                  <a:gd name="T1" fmla="*/ 2 h 117"/>
                  <a:gd name="T2" fmla="*/ 2 w 119"/>
                  <a:gd name="T3" fmla="*/ 0 h 117"/>
                  <a:gd name="T4" fmla="*/ 2 w 119"/>
                  <a:gd name="T5" fmla="*/ 0 h 1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9" h="117">
                    <a:moveTo>
                      <a:pt x="0" y="117"/>
                    </a:moveTo>
                    <a:lnTo>
                      <a:pt x="118" y="0"/>
                    </a:lnTo>
                    <a:lnTo>
                      <a:pt x="1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1" name="Freeform 437"/>
              <xdr:cNvSpPr>
                <a:spLocks noChangeAspect="1"/>
              </xdr:cNvSpPr>
            </xdr:nvSpPr>
            <xdr:spPr bwMode="auto">
              <a:xfrm>
                <a:off x="2329" y="3534"/>
                <a:ext cx="15" cy="16"/>
              </a:xfrm>
              <a:custGeom>
                <a:avLst/>
                <a:gdLst>
                  <a:gd name="T0" fmla="*/ 0 w 114"/>
                  <a:gd name="T1" fmla="*/ 2 h 113"/>
                  <a:gd name="T2" fmla="*/ 2 w 114"/>
                  <a:gd name="T3" fmla="*/ 0 h 113"/>
                  <a:gd name="T4" fmla="*/ 2 w 114"/>
                  <a:gd name="T5" fmla="*/ 0 h 1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4" h="113">
                    <a:moveTo>
                      <a:pt x="0" y="113"/>
                    </a:moveTo>
                    <a:lnTo>
                      <a:pt x="113" y="0"/>
                    </a:lnTo>
                    <a:lnTo>
                      <a:pt x="1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2" name="Freeform 438"/>
              <xdr:cNvSpPr>
                <a:spLocks noChangeAspect="1"/>
              </xdr:cNvSpPr>
            </xdr:nvSpPr>
            <xdr:spPr bwMode="auto">
              <a:xfrm>
                <a:off x="2330" y="3535"/>
                <a:ext cx="14" cy="15"/>
              </a:xfrm>
              <a:custGeom>
                <a:avLst/>
                <a:gdLst>
                  <a:gd name="T0" fmla="*/ 0 w 109"/>
                  <a:gd name="T1" fmla="*/ 2 h 107"/>
                  <a:gd name="T2" fmla="*/ 2 w 109"/>
                  <a:gd name="T3" fmla="*/ 0 h 107"/>
                  <a:gd name="T4" fmla="*/ 2 w 109"/>
                  <a:gd name="T5" fmla="*/ 0 h 10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09" h="107">
                    <a:moveTo>
                      <a:pt x="0" y="107"/>
                    </a:moveTo>
                    <a:lnTo>
                      <a:pt x="108" y="0"/>
                    </a:lnTo>
                    <a:lnTo>
                      <a:pt x="10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3" name="Freeform 439"/>
              <xdr:cNvSpPr>
                <a:spLocks noChangeAspect="1"/>
              </xdr:cNvSpPr>
            </xdr:nvSpPr>
            <xdr:spPr bwMode="auto">
              <a:xfrm>
                <a:off x="2331" y="3536"/>
                <a:ext cx="13" cy="14"/>
              </a:xfrm>
              <a:custGeom>
                <a:avLst/>
                <a:gdLst>
                  <a:gd name="T0" fmla="*/ 0 w 104"/>
                  <a:gd name="T1" fmla="*/ 2 h 101"/>
                  <a:gd name="T2" fmla="*/ 2 w 104"/>
                  <a:gd name="T3" fmla="*/ 0 h 101"/>
                  <a:gd name="T4" fmla="*/ 2 w 104"/>
                  <a:gd name="T5" fmla="*/ 0 h 10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04" h="101">
                    <a:moveTo>
                      <a:pt x="0" y="101"/>
                    </a:moveTo>
                    <a:lnTo>
                      <a:pt x="102" y="0"/>
                    </a:lnTo>
                    <a:lnTo>
                      <a:pt x="10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4" name="Freeform 440"/>
              <xdr:cNvSpPr>
                <a:spLocks noChangeAspect="1"/>
              </xdr:cNvSpPr>
            </xdr:nvSpPr>
            <xdr:spPr bwMode="auto">
              <a:xfrm>
                <a:off x="2332" y="3537"/>
                <a:ext cx="12" cy="13"/>
              </a:xfrm>
              <a:custGeom>
                <a:avLst/>
                <a:gdLst>
                  <a:gd name="T0" fmla="*/ 0 w 97"/>
                  <a:gd name="T1" fmla="*/ 2 h 95"/>
                  <a:gd name="T2" fmla="*/ 1 w 97"/>
                  <a:gd name="T3" fmla="*/ 0 h 95"/>
                  <a:gd name="T4" fmla="*/ 1 w 97"/>
                  <a:gd name="T5" fmla="*/ 0 h 9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97" h="95">
                    <a:moveTo>
                      <a:pt x="0" y="95"/>
                    </a:moveTo>
                    <a:lnTo>
                      <a:pt x="95" y="0"/>
                    </a:lnTo>
                    <a:lnTo>
                      <a:pt x="9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5" name="Freeform 441"/>
              <xdr:cNvSpPr>
                <a:spLocks noChangeAspect="1"/>
              </xdr:cNvSpPr>
            </xdr:nvSpPr>
            <xdr:spPr bwMode="auto">
              <a:xfrm>
                <a:off x="2333" y="3538"/>
                <a:ext cx="11" cy="12"/>
              </a:xfrm>
              <a:custGeom>
                <a:avLst/>
                <a:gdLst>
                  <a:gd name="T0" fmla="*/ 0 w 88"/>
                  <a:gd name="T1" fmla="*/ 2 h 87"/>
                  <a:gd name="T2" fmla="*/ 1 w 88"/>
                  <a:gd name="T3" fmla="*/ 0 h 87"/>
                  <a:gd name="T4" fmla="*/ 1 w 88"/>
                  <a:gd name="T5" fmla="*/ 0 h 8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8" h="87">
                    <a:moveTo>
                      <a:pt x="0" y="87"/>
                    </a:moveTo>
                    <a:lnTo>
                      <a:pt x="87" y="0"/>
                    </a:lnTo>
                    <a:lnTo>
                      <a:pt x="8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6" name="Freeform 442"/>
              <xdr:cNvSpPr>
                <a:spLocks noChangeAspect="1"/>
              </xdr:cNvSpPr>
            </xdr:nvSpPr>
            <xdr:spPr bwMode="auto">
              <a:xfrm>
                <a:off x="2334" y="3539"/>
                <a:ext cx="10" cy="11"/>
              </a:xfrm>
              <a:custGeom>
                <a:avLst/>
                <a:gdLst>
                  <a:gd name="T0" fmla="*/ 0 w 79"/>
                  <a:gd name="T1" fmla="*/ 2 h 77"/>
                  <a:gd name="T2" fmla="*/ 1 w 79"/>
                  <a:gd name="T3" fmla="*/ 0 h 77"/>
                  <a:gd name="T4" fmla="*/ 1 w 79"/>
                  <a:gd name="T5" fmla="*/ 0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9" h="77">
                    <a:moveTo>
                      <a:pt x="0" y="77"/>
                    </a:moveTo>
                    <a:lnTo>
                      <a:pt x="78" y="0"/>
                    </a:lnTo>
                    <a:lnTo>
                      <a:pt x="7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7" name="Freeform 443"/>
              <xdr:cNvSpPr>
                <a:spLocks noChangeAspect="1"/>
              </xdr:cNvSpPr>
            </xdr:nvSpPr>
            <xdr:spPr bwMode="auto">
              <a:xfrm>
                <a:off x="2335" y="3540"/>
                <a:ext cx="9" cy="10"/>
              </a:xfrm>
              <a:custGeom>
                <a:avLst/>
                <a:gdLst>
                  <a:gd name="T0" fmla="*/ 0 w 67"/>
                  <a:gd name="T1" fmla="*/ 1 h 67"/>
                  <a:gd name="T2" fmla="*/ 1 w 67"/>
                  <a:gd name="T3" fmla="*/ 0 h 67"/>
                  <a:gd name="T4" fmla="*/ 1 w 67"/>
                  <a:gd name="T5" fmla="*/ 0 h 6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67" h="67">
                    <a:moveTo>
                      <a:pt x="0" y="67"/>
                    </a:moveTo>
                    <a:lnTo>
                      <a:pt x="66" y="0"/>
                    </a:lnTo>
                    <a:lnTo>
                      <a:pt x="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8" name="Freeform 444"/>
              <xdr:cNvSpPr>
                <a:spLocks noChangeAspect="1"/>
              </xdr:cNvSpPr>
            </xdr:nvSpPr>
            <xdr:spPr bwMode="auto">
              <a:xfrm>
                <a:off x="2336" y="3542"/>
                <a:ext cx="7" cy="7"/>
              </a:xfrm>
              <a:custGeom>
                <a:avLst/>
                <a:gdLst>
                  <a:gd name="T0" fmla="*/ 0 w 53"/>
                  <a:gd name="T1" fmla="*/ 1 h 52"/>
                  <a:gd name="T2" fmla="*/ 1 w 53"/>
                  <a:gd name="T3" fmla="*/ 0 h 52"/>
                  <a:gd name="T4" fmla="*/ 1 w 53"/>
                  <a:gd name="T5" fmla="*/ 0 h 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2">
                    <a:moveTo>
                      <a:pt x="0" y="52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9" name="Freeform 445"/>
              <xdr:cNvSpPr>
                <a:spLocks noChangeAspect="1"/>
              </xdr:cNvSpPr>
            </xdr:nvSpPr>
            <xdr:spPr bwMode="auto">
              <a:xfrm>
                <a:off x="2338" y="3544"/>
                <a:ext cx="4" cy="4"/>
              </a:xfrm>
              <a:custGeom>
                <a:avLst/>
                <a:gdLst>
                  <a:gd name="T0" fmla="*/ 0 w 31"/>
                  <a:gd name="T1" fmla="*/ 1 h 29"/>
                  <a:gd name="T2" fmla="*/ 1 w 31"/>
                  <a:gd name="T3" fmla="*/ 0 h 29"/>
                  <a:gd name="T4" fmla="*/ 1 w 31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29">
                    <a:moveTo>
                      <a:pt x="0" y="29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0" name="Freeform 446"/>
              <xdr:cNvSpPr>
                <a:spLocks noChangeAspect="1"/>
              </xdr:cNvSpPr>
            </xdr:nvSpPr>
            <xdr:spPr bwMode="auto">
              <a:xfrm>
                <a:off x="2322" y="3542"/>
                <a:ext cx="1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1" name="Freeform 447"/>
              <xdr:cNvSpPr>
                <a:spLocks noChangeAspect="1"/>
              </xdr:cNvSpPr>
            </xdr:nvSpPr>
            <xdr:spPr bwMode="auto">
              <a:xfrm>
                <a:off x="2337" y="3525"/>
                <a:ext cx="2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2" name="Freeform 448"/>
              <xdr:cNvSpPr>
                <a:spLocks noChangeAspect="1"/>
              </xdr:cNvSpPr>
            </xdr:nvSpPr>
            <xdr:spPr bwMode="auto">
              <a:xfrm>
                <a:off x="2321" y="3542"/>
                <a:ext cx="2" cy="1"/>
              </a:xfrm>
              <a:custGeom>
                <a:avLst/>
                <a:gdLst>
                  <a:gd name="T0" fmla="*/ 0 w 11"/>
                  <a:gd name="T1" fmla="*/ 0 h 11"/>
                  <a:gd name="T2" fmla="*/ 0 w 11"/>
                  <a:gd name="T3" fmla="*/ 0 h 11"/>
                  <a:gd name="T4" fmla="*/ 0 w 1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1">
                    <a:moveTo>
                      <a:pt x="0" y="11"/>
                    </a:moveTo>
                    <a:lnTo>
                      <a:pt x="10" y="0"/>
                    </a:lnTo>
                    <a:lnTo>
                      <a:pt x="1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3" name="Freeform 449"/>
              <xdr:cNvSpPr>
                <a:spLocks noChangeAspect="1"/>
              </xdr:cNvSpPr>
            </xdr:nvSpPr>
            <xdr:spPr bwMode="auto">
              <a:xfrm>
                <a:off x="2337" y="3524"/>
                <a:ext cx="1" cy="2"/>
              </a:xfrm>
              <a:custGeom>
                <a:avLst/>
                <a:gdLst>
                  <a:gd name="T0" fmla="*/ 0 w 11"/>
                  <a:gd name="T1" fmla="*/ 0 h 10"/>
                  <a:gd name="T2" fmla="*/ 0 w 11"/>
                  <a:gd name="T3" fmla="*/ 0 h 10"/>
                  <a:gd name="T4" fmla="*/ 0 w 11"/>
                  <a:gd name="T5" fmla="*/ 0 h 1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0">
                    <a:moveTo>
                      <a:pt x="0" y="10"/>
                    </a:moveTo>
                    <a:lnTo>
                      <a:pt x="10" y="0"/>
                    </a:lnTo>
                    <a:lnTo>
                      <a:pt x="1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4" name="Freeform 450"/>
              <xdr:cNvSpPr>
                <a:spLocks noChangeAspect="1"/>
              </xdr:cNvSpPr>
            </xdr:nvSpPr>
            <xdr:spPr bwMode="auto">
              <a:xfrm>
                <a:off x="2321" y="3542"/>
                <a:ext cx="1" cy="1"/>
              </a:xfrm>
              <a:custGeom>
                <a:avLst/>
                <a:gdLst>
                  <a:gd name="T0" fmla="*/ 0 w 7"/>
                  <a:gd name="T1" fmla="*/ 0 h 6"/>
                  <a:gd name="T2" fmla="*/ 0 w 7"/>
                  <a:gd name="T3" fmla="*/ 0 h 6"/>
                  <a:gd name="T4" fmla="*/ 0 w 7"/>
                  <a:gd name="T5" fmla="*/ 0 h 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6">
                    <a:moveTo>
                      <a:pt x="0" y="6"/>
                    </a:moveTo>
                    <a:lnTo>
                      <a:pt x="6" y="0"/>
                    </a:lnTo>
                    <a:lnTo>
                      <a:pt x="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5" name="Freeform 451"/>
              <xdr:cNvSpPr>
                <a:spLocks noChangeAspect="1"/>
              </xdr:cNvSpPr>
            </xdr:nvSpPr>
            <xdr:spPr bwMode="auto">
              <a:xfrm>
                <a:off x="2337" y="3524"/>
                <a:ext cx="0" cy="1"/>
              </a:xfrm>
              <a:custGeom>
                <a:avLst/>
                <a:gdLst>
                  <a:gd name="T0" fmla="*/ 0 w 6"/>
                  <a:gd name="T1" fmla="*/ 0 h 6"/>
                  <a:gd name="T2" fmla="*/ 0 w 6"/>
                  <a:gd name="T3" fmla="*/ 0 h 6"/>
                  <a:gd name="T4" fmla="*/ 0 w 6"/>
                  <a:gd name="T5" fmla="*/ 0 h 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6" h="6">
                    <a:moveTo>
                      <a:pt x="0" y="6"/>
                    </a:moveTo>
                    <a:lnTo>
                      <a:pt x="5" y="0"/>
                    </a:lnTo>
                    <a:lnTo>
                      <a:pt x="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6" name="Freeform 452"/>
              <xdr:cNvSpPr>
                <a:spLocks noChangeAspect="1"/>
              </xdr:cNvSpPr>
            </xdr:nvSpPr>
            <xdr:spPr bwMode="auto">
              <a:xfrm>
                <a:off x="2321" y="3542"/>
                <a:ext cx="0" cy="0"/>
              </a:xfrm>
              <a:custGeom>
                <a:avLst/>
                <a:gdLst>
                  <a:gd name="T0" fmla="*/ 0 w 1"/>
                  <a:gd name="T1" fmla="*/ 1 h 1"/>
                  <a:gd name="T2" fmla="*/ 0 w 1"/>
                  <a:gd name="T3" fmla="*/ 0 h 1"/>
                  <a:gd name="T4" fmla="*/ 1 w 1"/>
                  <a:gd name="T5" fmla="*/ 0 h 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">
                    <a:moveTo>
                      <a:pt x="0" y="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7" name="Freeform 453"/>
              <xdr:cNvSpPr>
                <a:spLocks noChangeAspect="1"/>
              </xdr:cNvSpPr>
            </xdr:nvSpPr>
            <xdr:spPr bwMode="auto">
              <a:xfrm>
                <a:off x="2337" y="3524"/>
                <a:ext cx="0" cy="0"/>
              </a:xfrm>
              <a:custGeom>
                <a:avLst/>
                <a:gdLst>
                  <a:gd name="T0" fmla="*/ 0 w 1"/>
                  <a:gd name="T1" fmla="*/ 1 h 1"/>
                  <a:gd name="T2" fmla="*/ 0 w 1"/>
                  <a:gd name="T3" fmla="*/ 0 h 1"/>
                  <a:gd name="T4" fmla="*/ 1 w 1"/>
                  <a:gd name="T5" fmla="*/ 0 h 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">
                    <a:moveTo>
                      <a:pt x="0" y="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8" name="Line 454"/>
              <xdr:cNvSpPr>
                <a:spLocks noChangeAspect="1" noChangeShapeType="1"/>
              </xdr:cNvSpPr>
            </xdr:nvSpPr>
            <xdr:spPr bwMode="auto">
              <a:xfrm>
                <a:off x="2327" y="3531"/>
                <a:ext cx="0" cy="0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79" name="Freeform 455"/>
              <xdr:cNvSpPr>
                <a:spLocks noChangeAspect="1"/>
              </xdr:cNvSpPr>
            </xdr:nvSpPr>
            <xdr:spPr bwMode="auto">
              <a:xfrm>
                <a:off x="2326" y="3530"/>
                <a:ext cx="1" cy="1"/>
              </a:xfrm>
              <a:custGeom>
                <a:avLst/>
                <a:gdLst>
                  <a:gd name="T0" fmla="*/ 0 w 9"/>
                  <a:gd name="T1" fmla="*/ 0 h 7"/>
                  <a:gd name="T2" fmla="*/ 0 w 9"/>
                  <a:gd name="T3" fmla="*/ 0 h 7"/>
                  <a:gd name="T4" fmla="*/ 0 w 9"/>
                  <a:gd name="T5" fmla="*/ 0 h 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9" h="7">
                    <a:moveTo>
                      <a:pt x="0" y="7"/>
                    </a:moveTo>
                    <a:lnTo>
                      <a:pt x="8" y="0"/>
                    </a:lnTo>
                    <a:lnTo>
                      <a:pt x="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0" name="Freeform 456"/>
              <xdr:cNvSpPr>
                <a:spLocks noChangeAspect="1"/>
              </xdr:cNvSpPr>
            </xdr:nvSpPr>
            <xdr:spPr bwMode="auto">
              <a:xfrm>
                <a:off x="2325" y="3529"/>
                <a:ext cx="2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1" name="Freeform 457"/>
              <xdr:cNvSpPr>
                <a:spLocks noChangeAspect="1"/>
              </xdr:cNvSpPr>
            </xdr:nvSpPr>
            <xdr:spPr bwMode="auto">
              <a:xfrm>
                <a:off x="2324" y="3528"/>
                <a:ext cx="3" cy="3"/>
              </a:xfrm>
              <a:custGeom>
                <a:avLst/>
                <a:gdLst>
                  <a:gd name="T0" fmla="*/ 0 w 23"/>
                  <a:gd name="T1" fmla="*/ 0 h 21"/>
                  <a:gd name="T2" fmla="*/ 0 w 23"/>
                  <a:gd name="T3" fmla="*/ 0 h 21"/>
                  <a:gd name="T4" fmla="*/ 0 w 23"/>
                  <a:gd name="T5" fmla="*/ 0 h 2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3" h="21">
                    <a:moveTo>
                      <a:pt x="0" y="21"/>
                    </a:moveTo>
                    <a:lnTo>
                      <a:pt x="22" y="0"/>
                    </a:lnTo>
                    <a:lnTo>
                      <a:pt x="2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2" name="Freeform 458"/>
              <xdr:cNvSpPr>
                <a:spLocks noChangeAspect="1"/>
              </xdr:cNvSpPr>
            </xdr:nvSpPr>
            <xdr:spPr bwMode="auto">
              <a:xfrm>
                <a:off x="2323" y="3527"/>
                <a:ext cx="4" cy="4"/>
              </a:xfrm>
              <a:custGeom>
                <a:avLst/>
                <a:gdLst>
                  <a:gd name="T0" fmla="*/ 0 w 29"/>
                  <a:gd name="T1" fmla="*/ 1 h 29"/>
                  <a:gd name="T2" fmla="*/ 1 w 29"/>
                  <a:gd name="T3" fmla="*/ 0 h 29"/>
                  <a:gd name="T4" fmla="*/ 1 w 29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9" h="29">
                    <a:moveTo>
                      <a:pt x="0" y="29"/>
                    </a:move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3" name="Freeform 459"/>
              <xdr:cNvSpPr>
                <a:spLocks noChangeAspect="1"/>
              </xdr:cNvSpPr>
            </xdr:nvSpPr>
            <xdr:spPr bwMode="auto">
              <a:xfrm>
                <a:off x="2322" y="3526"/>
                <a:ext cx="5" cy="5"/>
              </a:xfrm>
              <a:custGeom>
                <a:avLst/>
                <a:gdLst>
                  <a:gd name="T0" fmla="*/ 0 w 37"/>
                  <a:gd name="T1" fmla="*/ 1 h 35"/>
                  <a:gd name="T2" fmla="*/ 1 w 37"/>
                  <a:gd name="T3" fmla="*/ 0 h 35"/>
                  <a:gd name="T4" fmla="*/ 1 w 37"/>
                  <a:gd name="T5" fmla="*/ 0 h 3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7" h="35">
                    <a:moveTo>
                      <a:pt x="0" y="35"/>
                    </a:moveTo>
                    <a:lnTo>
                      <a:pt x="36" y="0"/>
                    </a:lnTo>
                    <a:lnTo>
                      <a:pt x="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4" name="Freeform 460"/>
              <xdr:cNvSpPr>
                <a:spLocks noChangeAspect="1"/>
              </xdr:cNvSpPr>
            </xdr:nvSpPr>
            <xdr:spPr bwMode="auto">
              <a:xfrm>
                <a:off x="2322" y="3525"/>
                <a:ext cx="5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5" name="Freeform 461"/>
              <xdr:cNvSpPr>
                <a:spLocks noChangeAspect="1"/>
              </xdr:cNvSpPr>
            </xdr:nvSpPr>
            <xdr:spPr bwMode="auto">
              <a:xfrm>
                <a:off x="2321" y="3524"/>
                <a:ext cx="6" cy="7"/>
              </a:xfrm>
              <a:custGeom>
                <a:avLst/>
                <a:gdLst>
                  <a:gd name="T0" fmla="*/ 0 w 51"/>
                  <a:gd name="T1" fmla="*/ 1 h 49"/>
                  <a:gd name="T2" fmla="*/ 1 w 51"/>
                  <a:gd name="T3" fmla="*/ 0 h 49"/>
                  <a:gd name="T4" fmla="*/ 1 w 51"/>
                  <a:gd name="T5" fmla="*/ 0 h 4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1" h="49">
                    <a:moveTo>
                      <a:pt x="0" y="49"/>
                    </a:moveTo>
                    <a:lnTo>
                      <a:pt x="50" y="0"/>
                    </a:lnTo>
                    <a:lnTo>
                      <a:pt x="5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6" name="Freeform 462"/>
              <xdr:cNvSpPr>
                <a:spLocks noChangeAspect="1"/>
              </xdr:cNvSpPr>
            </xdr:nvSpPr>
            <xdr:spPr bwMode="auto">
              <a:xfrm>
                <a:off x="2321" y="3525"/>
                <a:ext cx="4" cy="4"/>
              </a:xfrm>
              <a:custGeom>
                <a:avLst/>
                <a:gdLst>
                  <a:gd name="T0" fmla="*/ 0 w 31"/>
                  <a:gd name="T1" fmla="*/ 1 h 29"/>
                  <a:gd name="T2" fmla="*/ 1 w 31"/>
                  <a:gd name="T3" fmla="*/ 0 h 29"/>
                  <a:gd name="T4" fmla="*/ 1 w 31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29">
                    <a:moveTo>
                      <a:pt x="0" y="29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7" name="Freeform 463"/>
              <xdr:cNvSpPr>
                <a:spLocks noChangeAspect="1"/>
              </xdr:cNvSpPr>
            </xdr:nvSpPr>
            <xdr:spPr bwMode="auto">
              <a:xfrm>
                <a:off x="2315" y="3516"/>
                <a:ext cx="34" cy="0"/>
              </a:xfrm>
              <a:custGeom>
                <a:avLst/>
                <a:gdLst>
                  <a:gd name="T0" fmla="*/ 0 w 267"/>
                  <a:gd name="T1" fmla="*/ 4 w 267"/>
                  <a:gd name="T2" fmla="*/ 4 w 26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7">
                    <a:moveTo>
                      <a:pt x="0" y="0"/>
                    </a:moveTo>
                    <a:lnTo>
                      <a:pt x="266" y="0"/>
                    </a:lnTo>
                    <a:lnTo>
                      <a:pt x="2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8" name="Freeform 464"/>
              <xdr:cNvSpPr>
                <a:spLocks noChangeAspect="1"/>
              </xdr:cNvSpPr>
            </xdr:nvSpPr>
            <xdr:spPr bwMode="auto">
              <a:xfrm>
                <a:off x="2313" y="3496"/>
                <a:ext cx="38" cy="0"/>
              </a:xfrm>
              <a:custGeom>
                <a:avLst/>
                <a:gdLst>
                  <a:gd name="T0" fmla="*/ 0 w 309"/>
                  <a:gd name="T1" fmla="*/ 5 w 309"/>
                  <a:gd name="T2" fmla="*/ 5 w 30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9">
                    <a:moveTo>
                      <a:pt x="0" y="0"/>
                    </a:moveTo>
                    <a:lnTo>
                      <a:pt x="308" y="0"/>
                    </a:lnTo>
                    <a:lnTo>
                      <a:pt x="30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9" name="Freeform 465"/>
              <xdr:cNvSpPr>
                <a:spLocks noChangeAspect="1"/>
              </xdr:cNvSpPr>
            </xdr:nvSpPr>
            <xdr:spPr bwMode="auto">
              <a:xfrm>
                <a:off x="2316" y="3513"/>
                <a:ext cx="32" cy="0"/>
              </a:xfrm>
              <a:custGeom>
                <a:avLst/>
                <a:gdLst>
                  <a:gd name="T0" fmla="*/ 0 w 253"/>
                  <a:gd name="T1" fmla="*/ 4 w 253"/>
                  <a:gd name="T2" fmla="*/ 4 w 2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3">
                    <a:moveTo>
                      <a:pt x="0" y="0"/>
                    </a:moveTo>
                    <a:lnTo>
                      <a:pt x="252" y="0"/>
                    </a:lnTo>
                    <a:lnTo>
                      <a:pt x="2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90" name="Freeform 466"/>
              <xdr:cNvSpPr>
                <a:spLocks noChangeAspect="1"/>
              </xdr:cNvSpPr>
            </xdr:nvSpPr>
            <xdr:spPr bwMode="auto">
              <a:xfrm>
                <a:off x="2316" y="3499"/>
                <a:ext cx="32" cy="0"/>
              </a:xfrm>
              <a:custGeom>
                <a:avLst/>
                <a:gdLst>
                  <a:gd name="T0" fmla="*/ 4 w 256"/>
                  <a:gd name="T1" fmla="*/ 0 w 256"/>
                  <a:gd name="T2" fmla="*/ 0 w 2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6">
                    <a:moveTo>
                      <a:pt x="25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91" name="Freeform 467"/>
              <xdr:cNvSpPr>
                <a:spLocks noChangeAspect="1"/>
              </xdr:cNvSpPr>
            </xdr:nvSpPr>
            <xdr:spPr bwMode="auto">
              <a:xfrm>
                <a:off x="2316" y="3506"/>
                <a:ext cx="32" cy="0"/>
              </a:xfrm>
              <a:custGeom>
                <a:avLst/>
                <a:gdLst>
                  <a:gd name="T0" fmla="*/ 4 w 256"/>
                  <a:gd name="T1" fmla="*/ 0 w 256"/>
                  <a:gd name="T2" fmla="*/ 0 w 2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6">
                    <a:moveTo>
                      <a:pt x="25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92" name="Freeform 468"/>
              <xdr:cNvSpPr>
                <a:spLocks noChangeAspect="1"/>
              </xdr:cNvSpPr>
            </xdr:nvSpPr>
            <xdr:spPr bwMode="auto">
              <a:xfrm>
                <a:off x="2320" y="3499"/>
                <a:ext cx="24" cy="0"/>
              </a:xfrm>
              <a:custGeom>
                <a:avLst/>
                <a:gdLst>
                  <a:gd name="T0" fmla="*/ 0 w 196"/>
                  <a:gd name="T1" fmla="*/ 3 w 196"/>
                  <a:gd name="T2" fmla="*/ 3 w 19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6">
                    <a:moveTo>
                      <a:pt x="0" y="0"/>
                    </a:moveTo>
                    <a:lnTo>
                      <a:pt x="194" y="0"/>
                    </a:lnTo>
                    <a:lnTo>
                      <a:pt x="19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93" name="Freeform 469"/>
              <xdr:cNvSpPr>
                <a:spLocks noChangeAspect="1"/>
              </xdr:cNvSpPr>
            </xdr:nvSpPr>
            <xdr:spPr bwMode="auto">
              <a:xfrm>
                <a:off x="2317" y="3549"/>
                <a:ext cx="10" cy="0"/>
              </a:xfrm>
              <a:custGeom>
                <a:avLst/>
                <a:gdLst>
                  <a:gd name="T0" fmla="*/ 0 w 83"/>
                  <a:gd name="T1" fmla="*/ 1 w 83"/>
                  <a:gd name="T2" fmla="*/ 1 w 8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3">
                    <a:moveTo>
                      <a:pt x="0" y="0"/>
                    </a:moveTo>
                    <a:lnTo>
                      <a:pt x="82" y="0"/>
                    </a:lnTo>
                    <a:lnTo>
                      <a:pt x="8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94" name="Freeform 470"/>
              <xdr:cNvSpPr>
                <a:spLocks noChangeAspect="1"/>
              </xdr:cNvSpPr>
            </xdr:nvSpPr>
            <xdr:spPr bwMode="auto">
              <a:xfrm>
                <a:off x="2317" y="3524"/>
                <a:ext cx="10" cy="0"/>
              </a:xfrm>
              <a:custGeom>
                <a:avLst/>
                <a:gdLst>
                  <a:gd name="T0" fmla="*/ 0 w 83"/>
                  <a:gd name="T1" fmla="*/ 1 w 83"/>
                  <a:gd name="T2" fmla="*/ 1 w 8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3">
                    <a:moveTo>
                      <a:pt x="0" y="0"/>
                    </a:moveTo>
                    <a:lnTo>
                      <a:pt x="82" y="0"/>
                    </a:lnTo>
                    <a:lnTo>
                      <a:pt x="8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95" name="Freeform 471"/>
              <xdr:cNvSpPr>
                <a:spLocks noChangeAspect="1"/>
              </xdr:cNvSpPr>
            </xdr:nvSpPr>
            <xdr:spPr bwMode="auto">
              <a:xfrm>
                <a:off x="2321" y="3542"/>
                <a:ext cx="11" cy="0"/>
              </a:xfrm>
              <a:custGeom>
                <a:avLst/>
                <a:gdLst>
                  <a:gd name="T0" fmla="*/ 0 w 92"/>
                  <a:gd name="T1" fmla="*/ 1 w 92"/>
                  <a:gd name="T2" fmla="*/ 1 w 92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2">
                    <a:moveTo>
                      <a:pt x="0" y="0"/>
                    </a:moveTo>
                    <a:lnTo>
                      <a:pt x="91" y="0"/>
                    </a:lnTo>
                    <a:lnTo>
                      <a:pt x="9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96" name="Freeform 472"/>
              <xdr:cNvSpPr>
                <a:spLocks noChangeAspect="1"/>
              </xdr:cNvSpPr>
            </xdr:nvSpPr>
            <xdr:spPr bwMode="auto">
              <a:xfrm>
                <a:off x="2324" y="3537"/>
                <a:ext cx="3" cy="0"/>
              </a:xfrm>
              <a:custGeom>
                <a:avLst/>
                <a:gdLst>
                  <a:gd name="T0" fmla="*/ 0 w 24"/>
                  <a:gd name="T1" fmla="*/ 0 w 24"/>
                  <a:gd name="T2" fmla="*/ 0 w 2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">
                    <a:moveTo>
                      <a:pt x="0" y="0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97" name="Freeform 473"/>
              <xdr:cNvSpPr>
                <a:spLocks noChangeAspect="1"/>
              </xdr:cNvSpPr>
            </xdr:nvSpPr>
            <xdr:spPr bwMode="auto">
              <a:xfrm>
                <a:off x="2321" y="3531"/>
                <a:ext cx="6" cy="0"/>
              </a:xfrm>
              <a:custGeom>
                <a:avLst/>
                <a:gdLst>
                  <a:gd name="T0" fmla="*/ 0 w 52"/>
                  <a:gd name="T1" fmla="*/ 1 w 52"/>
                  <a:gd name="T2" fmla="*/ 1 w 52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2">
                    <a:moveTo>
                      <a:pt x="0" y="0"/>
                    </a:moveTo>
                    <a:lnTo>
                      <a:pt x="51" y="0"/>
                    </a:lnTo>
                    <a:lnTo>
                      <a:pt x="5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39" name="Group 474"/>
            <xdr:cNvGrpSpPr>
              <a:grpSpLocks noChangeAspect="1"/>
            </xdr:cNvGrpSpPr>
          </xdr:nvGrpSpPr>
          <xdr:grpSpPr bwMode="auto">
            <a:xfrm>
              <a:off x="1376" y="1627"/>
              <a:ext cx="421" cy="320"/>
              <a:chOff x="2322" y="2929"/>
              <a:chExt cx="147" cy="112"/>
            </a:xfrm>
          </xdr:grpSpPr>
          <xdr:sp macro="" textlink="">
            <xdr:nvSpPr>
              <xdr:cNvPr id="238" name="Freeform 475"/>
              <xdr:cNvSpPr>
                <a:spLocks noChangeAspect="1"/>
              </xdr:cNvSpPr>
            </xdr:nvSpPr>
            <xdr:spPr bwMode="auto">
              <a:xfrm>
                <a:off x="2464" y="2937"/>
                <a:ext cx="2" cy="0"/>
              </a:xfrm>
              <a:custGeom>
                <a:avLst/>
                <a:gdLst>
                  <a:gd name="T0" fmla="*/ 0 w 17"/>
                  <a:gd name="T1" fmla="*/ 0 w 17"/>
                  <a:gd name="T2" fmla="*/ 0 w 1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7">
                    <a:moveTo>
                      <a:pt x="0" y="0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9" name="Freeform 476"/>
              <xdr:cNvSpPr>
                <a:spLocks noChangeAspect="1"/>
              </xdr:cNvSpPr>
            </xdr:nvSpPr>
            <xdr:spPr bwMode="auto">
              <a:xfrm>
                <a:off x="2419" y="2943"/>
                <a:ext cx="44" cy="0"/>
              </a:xfrm>
              <a:custGeom>
                <a:avLst/>
                <a:gdLst>
                  <a:gd name="T0" fmla="*/ 0 w 356"/>
                  <a:gd name="T1" fmla="*/ 5 w 356"/>
                  <a:gd name="T2" fmla="*/ 5 w 3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56">
                    <a:moveTo>
                      <a:pt x="0" y="0"/>
                    </a:moveTo>
                    <a:lnTo>
                      <a:pt x="355" y="0"/>
                    </a:lnTo>
                    <a:lnTo>
                      <a:pt x="35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0" name="Freeform 477"/>
              <xdr:cNvSpPr>
                <a:spLocks noChangeAspect="1"/>
              </xdr:cNvSpPr>
            </xdr:nvSpPr>
            <xdr:spPr bwMode="auto">
              <a:xfrm>
                <a:off x="2395" y="3020"/>
                <a:ext cx="62" cy="21"/>
              </a:xfrm>
              <a:custGeom>
                <a:avLst/>
                <a:gdLst>
                  <a:gd name="T0" fmla="*/ 8 w 493"/>
                  <a:gd name="T1" fmla="*/ 0 h 147"/>
                  <a:gd name="T2" fmla="*/ 0 w 493"/>
                  <a:gd name="T3" fmla="*/ 3 h 147"/>
                  <a:gd name="T4" fmla="*/ 0 w 493"/>
                  <a:gd name="T5" fmla="*/ 3 h 1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3" h="147">
                    <a:moveTo>
                      <a:pt x="493" y="0"/>
                    </a:moveTo>
                    <a:lnTo>
                      <a:pt x="0" y="147"/>
                    </a:lnTo>
                    <a:lnTo>
                      <a:pt x="1" y="14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1" name="Freeform 478"/>
              <xdr:cNvSpPr>
                <a:spLocks noChangeAspect="1"/>
              </xdr:cNvSpPr>
            </xdr:nvSpPr>
            <xdr:spPr bwMode="auto">
              <a:xfrm>
                <a:off x="2419" y="3018"/>
                <a:ext cx="39" cy="0"/>
              </a:xfrm>
              <a:custGeom>
                <a:avLst/>
                <a:gdLst>
                  <a:gd name="T0" fmla="*/ 0 w 310"/>
                  <a:gd name="T1" fmla="*/ 5 w 310"/>
                  <a:gd name="T2" fmla="*/ 5 w 31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10">
                    <a:moveTo>
                      <a:pt x="0" y="0"/>
                    </a:moveTo>
                    <a:lnTo>
                      <a:pt x="309" y="0"/>
                    </a:lnTo>
                    <a:lnTo>
                      <a:pt x="31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2" name="Freeform 479"/>
              <xdr:cNvSpPr>
                <a:spLocks noChangeAspect="1"/>
              </xdr:cNvSpPr>
            </xdr:nvSpPr>
            <xdr:spPr bwMode="auto">
              <a:xfrm>
                <a:off x="2415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3" name="Freeform 480"/>
              <xdr:cNvSpPr>
                <a:spLocks noChangeAspect="1"/>
              </xdr:cNvSpPr>
            </xdr:nvSpPr>
            <xdr:spPr bwMode="auto">
              <a:xfrm>
                <a:off x="2419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4" name="Freeform 481"/>
              <xdr:cNvSpPr>
                <a:spLocks noChangeAspect="1"/>
              </xdr:cNvSpPr>
            </xdr:nvSpPr>
            <xdr:spPr bwMode="auto">
              <a:xfrm>
                <a:off x="2457" y="2929"/>
                <a:ext cx="7" cy="93"/>
              </a:xfrm>
              <a:custGeom>
                <a:avLst/>
                <a:gdLst>
                  <a:gd name="T0" fmla="*/ 1 w 58"/>
                  <a:gd name="T1" fmla="*/ 0 h 652"/>
                  <a:gd name="T2" fmla="*/ 0 w 58"/>
                  <a:gd name="T3" fmla="*/ 13 h 652"/>
                  <a:gd name="T4" fmla="*/ 0 w 58"/>
                  <a:gd name="T5" fmla="*/ 13 h 6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8" h="652">
                    <a:moveTo>
                      <a:pt x="58" y="0"/>
                    </a:moveTo>
                    <a:lnTo>
                      <a:pt x="0" y="652"/>
                    </a:lnTo>
                    <a:lnTo>
                      <a:pt x="1" y="65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5" name="Freeform 482"/>
              <xdr:cNvSpPr>
                <a:spLocks noChangeAspect="1"/>
              </xdr:cNvSpPr>
            </xdr:nvSpPr>
            <xdr:spPr bwMode="auto">
              <a:xfrm>
                <a:off x="2328" y="2943"/>
                <a:ext cx="44" cy="0"/>
              </a:xfrm>
              <a:custGeom>
                <a:avLst/>
                <a:gdLst>
                  <a:gd name="T0" fmla="*/ 5 w 355"/>
                  <a:gd name="T1" fmla="*/ 0 w 355"/>
                  <a:gd name="T2" fmla="*/ 0 w 355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55">
                    <a:moveTo>
                      <a:pt x="355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6" name="Freeform 483"/>
              <xdr:cNvSpPr>
                <a:spLocks noChangeAspect="1"/>
              </xdr:cNvSpPr>
            </xdr:nvSpPr>
            <xdr:spPr bwMode="auto">
              <a:xfrm>
                <a:off x="2334" y="3018"/>
                <a:ext cx="38" cy="0"/>
              </a:xfrm>
              <a:custGeom>
                <a:avLst/>
                <a:gdLst>
                  <a:gd name="T0" fmla="*/ 5 w 309"/>
                  <a:gd name="T1" fmla="*/ 0 w 309"/>
                  <a:gd name="T2" fmla="*/ 0 w 30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9">
                    <a:moveTo>
                      <a:pt x="309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7" name="Freeform 484"/>
              <xdr:cNvSpPr>
                <a:spLocks noChangeAspect="1"/>
              </xdr:cNvSpPr>
            </xdr:nvSpPr>
            <xdr:spPr bwMode="auto">
              <a:xfrm>
                <a:off x="2327" y="2929"/>
                <a:ext cx="7" cy="93"/>
              </a:xfrm>
              <a:custGeom>
                <a:avLst/>
                <a:gdLst>
                  <a:gd name="T0" fmla="*/ 0 w 59"/>
                  <a:gd name="T1" fmla="*/ 0 h 652"/>
                  <a:gd name="T2" fmla="*/ 1 w 59"/>
                  <a:gd name="T3" fmla="*/ 13 h 652"/>
                  <a:gd name="T4" fmla="*/ 1 w 59"/>
                  <a:gd name="T5" fmla="*/ 13 h 6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9" h="652">
                    <a:moveTo>
                      <a:pt x="0" y="0"/>
                    </a:moveTo>
                    <a:lnTo>
                      <a:pt x="58" y="652"/>
                    </a:lnTo>
                    <a:lnTo>
                      <a:pt x="59" y="65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" name="Freeform 485"/>
              <xdr:cNvSpPr>
                <a:spLocks noChangeAspect="1"/>
              </xdr:cNvSpPr>
            </xdr:nvSpPr>
            <xdr:spPr bwMode="auto">
              <a:xfrm>
                <a:off x="2376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" name="Freeform 486"/>
              <xdr:cNvSpPr>
                <a:spLocks noChangeAspect="1"/>
              </xdr:cNvSpPr>
            </xdr:nvSpPr>
            <xdr:spPr bwMode="auto">
              <a:xfrm>
                <a:off x="2372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0" name="Freeform 487"/>
              <xdr:cNvSpPr>
                <a:spLocks noChangeAspect="1"/>
              </xdr:cNvSpPr>
            </xdr:nvSpPr>
            <xdr:spPr bwMode="auto">
              <a:xfrm>
                <a:off x="2334" y="3018"/>
                <a:ext cx="81" cy="0"/>
              </a:xfrm>
              <a:custGeom>
                <a:avLst/>
                <a:gdLst>
                  <a:gd name="T0" fmla="*/ 0 w 653"/>
                  <a:gd name="T1" fmla="*/ 10 w 653"/>
                  <a:gd name="T2" fmla="*/ 10 w 6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653">
                    <a:moveTo>
                      <a:pt x="0" y="0"/>
                    </a:moveTo>
                    <a:lnTo>
                      <a:pt x="652" y="0"/>
                    </a:lnTo>
                    <a:lnTo>
                      <a:pt x="6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1" name="Freeform 488"/>
              <xdr:cNvSpPr>
                <a:spLocks noChangeAspect="1"/>
              </xdr:cNvSpPr>
            </xdr:nvSpPr>
            <xdr:spPr bwMode="auto">
              <a:xfrm>
                <a:off x="2334" y="3020"/>
                <a:ext cx="62" cy="21"/>
              </a:xfrm>
              <a:custGeom>
                <a:avLst/>
                <a:gdLst>
                  <a:gd name="T0" fmla="*/ 0 w 493"/>
                  <a:gd name="T1" fmla="*/ 0 h 147"/>
                  <a:gd name="T2" fmla="*/ 8 w 493"/>
                  <a:gd name="T3" fmla="*/ 3 h 147"/>
                  <a:gd name="T4" fmla="*/ 8 w 493"/>
                  <a:gd name="T5" fmla="*/ 3 h 1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3" h="147">
                    <a:moveTo>
                      <a:pt x="0" y="0"/>
                    </a:moveTo>
                    <a:lnTo>
                      <a:pt x="492" y="147"/>
                    </a:lnTo>
                    <a:lnTo>
                      <a:pt x="493" y="14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2" name="Freeform 489"/>
              <xdr:cNvSpPr>
                <a:spLocks noChangeAspect="1"/>
              </xdr:cNvSpPr>
            </xdr:nvSpPr>
            <xdr:spPr bwMode="auto">
              <a:xfrm>
                <a:off x="2376" y="2943"/>
                <a:ext cx="39" cy="0"/>
              </a:xfrm>
              <a:custGeom>
                <a:avLst/>
                <a:gdLst>
                  <a:gd name="T0" fmla="*/ 0 w 314"/>
                  <a:gd name="T1" fmla="*/ 5 w 314"/>
                  <a:gd name="T2" fmla="*/ 5 w 31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14">
                    <a:moveTo>
                      <a:pt x="0" y="0"/>
                    </a:moveTo>
                    <a:lnTo>
                      <a:pt x="313" y="0"/>
                    </a:lnTo>
                    <a:lnTo>
                      <a:pt x="3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3" name="Freeform 490"/>
              <xdr:cNvSpPr>
                <a:spLocks noChangeAspect="1"/>
              </xdr:cNvSpPr>
            </xdr:nvSpPr>
            <xdr:spPr bwMode="auto">
              <a:xfrm>
                <a:off x="2466" y="2933"/>
                <a:ext cx="3" cy="4"/>
              </a:xfrm>
              <a:custGeom>
                <a:avLst/>
                <a:gdLst>
                  <a:gd name="T0" fmla="*/ 0 w 29"/>
                  <a:gd name="T1" fmla="*/ 1 h 28"/>
                  <a:gd name="T2" fmla="*/ 0 w 29"/>
                  <a:gd name="T3" fmla="*/ 0 h 28"/>
                  <a:gd name="T4" fmla="*/ 0 w 29"/>
                  <a:gd name="T5" fmla="*/ 0 h 28"/>
                  <a:gd name="T6" fmla="*/ 0 w 29"/>
                  <a:gd name="T7" fmla="*/ 0 h 28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9" h="28">
                    <a:moveTo>
                      <a:pt x="0" y="28"/>
                    </a:moveTo>
                    <a:lnTo>
                      <a:pt x="20" y="21"/>
                    </a:ln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4" name="Freeform 491"/>
              <xdr:cNvSpPr>
                <a:spLocks noChangeAspect="1"/>
              </xdr:cNvSpPr>
            </xdr:nvSpPr>
            <xdr:spPr bwMode="auto">
              <a:xfrm>
                <a:off x="2322" y="2933"/>
                <a:ext cx="4" cy="4"/>
              </a:xfrm>
              <a:custGeom>
                <a:avLst/>
                <a:gdLst>
                  <a:gd name="T0" fmla="*/ 0 w 29"/>
                  <a:gd name="T1" fmla="*/ 0 h 28"/>
                  <a:gd name="T2" fmla="*/ 0 w 29"/>
                  <a:gd name="T3" fmla="*/ 0 h 28"/>
                  <a:gd name="T4" fmla="*/ 1 w 29"/>
                  <a:gd name="T5" fmla="*/ 1 h 28"/>
                  <a:gd name="T6" fmla="*/ 1 w 29"/>
                  <a:gd name="T7" fmla="*/ 1 h 28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9" h="28">
                    <a:moveTo>
                      <a:pt x="0" y="0"/>
                    </a:moveTo>
                    <a:lnTo>
                      <a:pt x="8" y="21"/>
                    </a:lnTo>
                    <a:lnTo>
                      <a:pt x="28" y="28"/>
                    </a:lnTo>
                    <a:lnTo>
                      <a:pt x="29" y="28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5" name="Freeform 492"/>
              <xdr:cNvSpPr>
                <a:spLocks noChangeAspect="1"/>
              </xdr:cNvSpPr>
            </xdr:nvSpPr>
            <xdr:spPr bwMode="auto">
              <a:xfrm>
                <a:off x="2325" y="2937"/>
                <a:ext cx="3" cy="0"/>
              </a:xfrm>
              <a:custGeom>
                <a:avLst/>
                <a:gdLst>
                  <a:gd name="T0" fmla="*/ 0 w 17"/>
                  <a:gd name="T1" fmla="*/ 1 w 17"/>
                  <a:gd name="T2" fmla="*/ 1 w 1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7">
                    <a:moveTo>
                      <a:pt x="0" y="0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40" name="Freeform 493"/>
            <xdr:cNvSpPr>
              <a:spLocks noChangeAspect="1"/>
            </xdr:cNvSpPr>
          </xdr:nvSpPr>
          <xdr:spPr bwMode="auto">
            <a:xfrm>
              <a:off x="1214" y="1627"/>
              <a:ext cx="720" cy="0"/>
            </a:xfrm>
            <a:custGeom>
              <a:avLst/>
              <a:gdLst>
                <a:gd name="T0" fmla="*/ 0 w 2020"/>
                <a:gd name="T1" fmla="*/ 256 w 2020"/>
                <a:gd name="T2" fmla="*/ 257 w 202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020">
                  <a:moveTo>
                    <a:pt x="0" y="0"/>
                  </a:moveTo>
                  <a:lnTo>
                    <a:pt x="2018" y="0"/>
                  </a:lnTo>
                  <a:lnTo>
                    <a:pt x="202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" name="Freeform 494"/>
            <xdr:cNvSpPr>
              <a:spLocks noChangeAspect="1"/>
            </xdr:cNvSpPr>
          </xdr:nvSpPr>
          <xdr:spPr bwMode="auto">
            <a:xfrm>
              <a:off x="1799" y="1621"/>
              <a:ext cx="0" cy="6"/>
            </a:xfrm>
            <a:custGeom>
              <a:avLst/>
              <a:gdLst>
                <a:gd name="T0" fmla="*/ 0 w 1"/>
                <a:gd name="T1" fmla="*/ 2 h 15"/>
                <a:gd name="T2" fmla="*/ 0 w 1"/>
                <a:gd name="T3" fmla="*/ 0 h 15"/>
                <a:gd name="T4" fmla="*/ 1 w 1"/>
                <a:gd name="T5" fmla="*/ 0 h 1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5">
                  <a:moveTo>
                    <a:pt x="0" y="15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2" name="Freeform 495"/>
            <xdr:cNvSpPr>
              <a:spLocks noChangeAspect="1"/>
            </xdr:cNvSpPr>
          </xdr:nvSpPr>
          <xdr:spPr bwMode="auto">
            <a:xfrm>
              <a:off x="1376" y="1621"/>
              <a:ext cx="0" cy="6"/>
            </a:xfrm>
            <a:custGeom>
              <a:avLst/>
              <a:gdLst>
                <a:gd name="T0" fmla="*/ 0 w 1"/>
                <a:gd name="T1" fmla="*/ 2 h 15"/>
                <a:gd name="T2" fmla="*/ 0 w 1"/>
                <a:gd name="T3" fmla="*/ 0 h 15"/>
                <a:gd name="T4" fmla="*/ 1 w 1"/>
                <a:gd name="T5" fmla="*/ 0 h 1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5">
                  <a:moveTo>
                    <a:pt x="0" y="15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" name="Freeform 496"/>
            <xdr:cNvSpPr>
              <a:spLocks noChangeAspect="1"/>
            </xdr:cNvSpPr>
          </xdr:nvSpPr>
          <xdr:spPr bwMode="auto">
            <a:xfrm>
              <a:off x="1376" y="1621"/>
              <a:ext cx="423" cy="0"/>
            </a:xfrm>
            <a:custGeom>
              <a:avLst/>
              <a:gdLst>
                <a:gd name="T0" fmla="*/ 0 w 1184"/>
                <a:gd name="T1" fmla="*/ 151 w 1184"/>
                <a:gd name="T2" fmla="*/ 151 w 118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184">
                  <a:moveTo>
                    <a:pt x="0" y="0"/>
                  </a:moveTo>
                  <a:lnTo>
                    <a:pt x="1183" y="0"/>
                  </a:lnTo>
                  <a:lnTo>
                    <a:pt x="118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" name="Freeform 497"/>
            <xdr:cNvSpPr>
              <a:spLocks noChangeAspect="1"/>
            </xdr:cNvSpPr>
          </xdr:nvSpPr>
          <xdr:spPr bwMode="auto">
            <a:xfrm>
              <a:off x="1376" y="1627"/>
              <a:ext cx="423" cy="0"/>
            </a:xfrm>
            <a:custGeom>
              <a:avLst/>
              <a:gdLst>
                <a:gd name="T0" fmla="*/ 0 w 1184"/>
                <a:gd name="T1" fmla="*/ 151 w 1184"/>
                <a:gd name="T2" fmla="*/ 151 w 118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184">
                  <a:moveTo>
                    <a:pt x="0" y="0"/>
                  </a:moveTo>
                  <a:lnTo>
                    <a:pt x="1183" y="0"/>
                  </a:lnTo>
                  <a:lnTo>
                    <a:pt x="118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" name="Freeform 498"/>
            <xdr:cNvSpPr>
              <a:spLocks noChangeAspect="1"/>
            </xdr:cNvSpPr>
          </xdr:nvSpPr>
          <xdr:spPr bwMode="auto">
            <a:xfrm>
              <a:off x="1797" y="1627"/>
              <a:ext cx="5" cy="5"/>
            </a:xfrm>
            <a:custGeom>
              <a:avLst/>
              <a:gdLst>
                <a:gd name="T0" fmla="*/ 2 w 12"/>
                <a:gd name="T1" fmla="*/ 0 h 11"/>
                <a:gd name="T2" fmla="*/ 0 w 12"/>
                <a:gd name="T3" fmla="*/ 0 h 11"/>
                <a:gd name="T4" fmla="*/ 0 w 12"/>
                <a:gd name="T5" fmla="*/ 2 h 11"/>
                <a:gd name="T6" fmla="*/ 0 w 12"/>
                <a:gd name="T7" fmla="*/ 2 h 1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11">
                  <a:moveTo>
                    <a:pt x="12" y="0"/>
                  </a:moveTo>
                  <a:lnTo>
                    <a:pt x="3" y="3"/>
                  </a:lnTo>
                  <a:lnTo>
                    <a:pt x="0" y="11"/>
                  </a:lnTo>
                  <a:lnTo>
                    <a:pt x="1" y="11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" name="Freeform 499"/>
            <xdr:cNvSpPr>
              <a:spLocks noChangeAspect="1"/>
            </xdr:cNvSpPr>
          </xdr:nvSpPr>
          <xdr:spPr bwMode="auto">
            <a:xfrm>
              <a:off x="1371" y="1627"/>
              <a:ext cx="5" cy="5"/>
            </a:xfrm>
            <a:custGeom>
              <a:avLst/>
              <a:gdLst>
                <a:gd name="T0" fmla="*/ 2 w 12"/>
                <a:gd name="T1" fmla="*/ 2 h 11"/>
                <a:gd name="T2" fmla="*/ 2 w 12"/>
                <a:gd name="T3" fmla="*/ 0 h 11"/>
                <a:gd name="T4" fmla="*/ 0 w 12"/>
                <a:gd name="T5" fmla="*/ 0 h 11"/>
                <a:gd name="T6" fmla="*/ 0 w 12"/>
                <a:gd name="T7" fmla="*/ 0 h 1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11">
                  <a:moveTo>
                    <a:pt x="12" y="11"/>
                  </a:moveTo>
                  <a:lnTo>
                    <a:pt x="9" y="3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" name="Freeform 500"/>
            <xdr:cNvSpPr>
              <a:spLocks noChangeAspect="1"/>
            </xdr:cNvSpPr>
          </xdr:nvSpPr>
          <xdr:spPr bwMode="auto">
            <a:xfrm>
              <a:off x="1802" y="1627"/>
              <a:ext cx="94" cy="0"/>
            </a:xfrm>
            <a:custGeom>
              <a:avLst/>
              <a:gdLst>
                <a:gd name="T0" fmla="*/ 0 w 268"/>
                <a:gd name="T1" fmla="*/ 33 w 268"/>
                <a:gd name="T2" fmla="*/ 33 w 26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68">
                  <a:moveTo>
                    <a:pt x="0" y="0"/>
                  </a:moveTo>
                  <a:lnTo>
                    <a:pt x="267" y="0"/>
                  </a:lnTo>
                  <a:lnTo>
                    <a:pt x="26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8" name="Freeform 501"/>
            <xdr:cNvSpPr>
              <a:spLocks noChangeAspect="1"/>
            </xdr:cNvSpPr>
          </xdr:nvSpPr>
          <xdr:spPr bwMode="auto">
            <a:xfrm>
              <a:off x="1896" y="1592"/>
              <a:ext cx="32" cy="35"/>
            </a:xfrm>
            <a:custGeom>
              <a:avLst/>
              <a:gdLst>
                <a:gd name="T0" fmla="*/ 0 w 87"/>
                <a:gd name="T1" fmla="*/ 15 h 82"/>
                <a:gd name="T2" fmla="*/ 6 w 87"/>
                <a:gd name="T3" fmla="*/ 13 h 82"/>
                <a:gd name="T4" fmla="*/ 10 w 87"/>
                <a:gd name="T5" fmla="*/ 8 h 82"/>
                <a:gd name="T6" fmla="*/ 12 w 87"/>
                <a:gd name="T7" fmla="*/ 0 h 82"/>
                <a:gd name="T8" fmla="*/ 12 w 87"/>
                <a:gd name="T9" fmla="*/ 0 h 8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7" h="82">
                  <a:moveTo>
                    <a:pt x="0" y="82"/>
                  </a:moveTo>
                  <a:lnTo>
                    <a:pt x="43" y="71"/>
                  </a:lnTo>
                  <a:lnTo>
                    <a:pt x="74" y="41"/>
                  </a:lnTo>
                  <a:lnTo>
                    <a:pt x="86" y="0"/>
                  </a:lnTo>
                  <a:lnTo>
                    <a:pt x="87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9" name="Freeform 502"/>
            <xdr:cNvSpPr>
              <a:spLocks noChangeAspect="1"/>
            </xdr:cNvSpPr>
          </xdr:nvSpPr>
          <xdr:spPr bwMode="auto">
            <a:xfrm>
              <a:off x="1317" y="1592"/>
              <a:ext cx="31" cy="35"/>
            </a:xfrm>
            <a:custGeom>
              <a:avLst/>
              <a:gdLst>
                <a:gd name="T0" fmla="*/ 0 w 87"/>
                <a:gd name="T1" fmla="*/ 0 h 82"/>
                <a:gd name="T2" fmla="*/ 2 w 87"/>
                <a:gd name="T3" fmla="*/ 8 h 82"/>
                <a:gd name="T4" fmla="*/ 6 w 87"/>
                <a:gd name="T5" fmla="*/ 13 h 82"/>
                <a:gd name="T6" fmla="*/ 11 w 87"/>
                <a:gd name="T7" fmla="*/ 15 h 82"/>
                <a:gd name="T8" fmla="*/ 11 w 87"/>
                <a:gd name="T9" fmla="*/ 15 h 8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7" h="82">
                  <a:moveTo>
                    <a:pt x="0" y="0"/>
                  </a:moveTo>
                  <a:lnTo>
                    <a:pt x="13" y="41"/>
                  </a:lnTo>
                  <a:lnTo>
                    <a:pt x="44" y="71"/>
                  </a:lnTo>
                  <a:lnTo>
                    <a:pt x="86" y="82"/>
                  </a:lnTo>
                  <a:lnTo>
                    <a:pt x="87" y="8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" name="Freeform 503"/>
            <xdr:cNvSpPr>
              <a:spLocks noChangeAspect="1"/>
            </xdr:cNvSpPr>
          </xdr:nvSpPr>
          <xdr:spPr bwMode="auto">
            <a:xfrm>
              <a:off x="1314" y="1512"/>
              <a:ext cx="3" cy="80"/>
            </a:xfrm>
            <a:custGeom>
              <a:avLst/>
              <a:gdLst>
                <a:gd name="T0" fmla="*/ 0 w 7"/>
                <a:gd name="T1" fmla="*/ 0 h 196"/>
                <a:gd name="T2" fmla="*/ 1 w 7"/>
                <a:gd name="T3" fmla="*/ 33 h 196"/>
                <a:gd name="T4" fmla="*/ 1 w 7"/>
                <a:gd name="T5" fmla="*/ 33 h 19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196">
                  <a:moveTo>
                    <a:pt x="0" y="0"/>
                  </a:moveTo>
                  <a:lnTo>
                    <a:pt x="6" y="196"/>
                  </a:lnTo>
                  <a:lnTo>
                    <a:pt x="7" y="19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" name="Freeform 504"/>
            <xdr:cNvSpPr>
              <a:spLocks noChangeAspect="1"/>
            </xdr:cNvSpPr>
          </xdr:nvSpPr>
          <xdr:spPr bwMode="auto">
            <a:xfrm>
              <a:off x="1928" y="1512"/>
              <a:ext cx="3" cy="80"/>
            </a:xfrm>
            <a:custGeom>
              <a:avLst/>
              <a:gdLst>
                <a:gd name="T0" fmla="*/ 2 w 6"/>
                <a:gd name="T1" fmla="*/ 0 h 196"/>
                <a:gd name="T2" fmla="*/ 0 w 6"/>
                <a:gd name="T3" fmla="*/ 33 h 196"/>
                <a:gd name="T4" fmla="*/ 1 w 6"/>
                <a:gd name="T5" fmla="*/ 33 h 19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6" h="196">
                  <a:moveTo>
                    <a:pt x="6" y="0"/>
                  </a:moveTo>
                  <a:lnTo>
                    <a:pt x="0" y="196"/>
                  </a:lnTo>
                  <a:lnTo>
                    <a:pt x="1" y="19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" name="Freeform 505"/>
            <xdr:cNvSpPr>
              <a:spLocks noChangeAspect="1"/>
            </xdr:cNvSpPr>
          </xdr:nvSpPr>
          <xdr:spPr bwMode="auto">
            <a:xfrm>
              <a:off x="1797" y="1632"/>
              <a:ext cx="0" cy="6"/>
            </a:xfrm>
            <a:custGeom>
              <a:avLst/>
              <a:gdLst>
                <a:gd name="T0" fmla="*/ 0 w 1"/>
                <a:gd name="T1" fmla="*/ 0 h 16"/>
                <a:gd name="T2" fmla="*/ 0 w 1"/>
                <a:gd name="T3" fmla="*/ 2 h 16"/>
                <a:gd name="T4" fmla="*/ 1 w 1"/>
                <a:gd name="T5" fmla="*/ 2 h 1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6">
                  <a:moveTo>
                    <a:pt x="0" y="0"/>
                  </a:moveTo>
                  <a:lnTo>
                    <a:pt x="0" y="16"/>
                  </a:lnTo>
                  <a:lnTo>
                    <a:pt x="1" y="1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3" name="Freeform 506"/>
            <xdr:cNvSpPr>
              <a:spLocks noChangeAspect="1"/>
            </xdr:cNvSpPr>
          </xdr:nvSpPr>
          <xdr:spPr bwMode="auto">
            <a:xfrm>
              <a:off x="1376" y="1632"/>
              <a:ext cx="0" cy="6"/>
            </a:xfrm>
            <a:custGeom>
              <a:avLst/>
              <a:gdLst>
                <a:gd name="T0" fmla="*/ 0 w 1"/>
                <a:gd name="T1" fmla="*/ 0 h 16"/>
                <a:gd name="T2" fmla="*/ 0 w 1"/>
                <a:gd name="T3" fmla="*/ 2 h 16"/>
                <a:gd name="T4" fmla="*/ 1 w 1"/>
                <a:gd name="T5" fmla="*/ 2 h 1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6">
                  <a:moveTo>
                    <a:pt x="0" y="0"/>
                  </a:moveTo>
                  <a:lnTo>
                    <a:pt x="0" y="16"/>
                  </a:lnTo>
                  <a:lnTo>
                    <a:pt x="1" y="1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4" name="Freeform 507"/>
            <xdr:cNvSpPr>
              <a:spLocks noChangeAspect="1"/>
            </xdr:cNvSpPr>
          </xdr:nvSpPr>
          <xdr:spPr bwMode="auto">
            <a:xfrm>
              <a:off x="1348" y="1627"/>
              <a:ext cx="26" cy="0"/>
            </a:xfrm>
            <a:custGeom>
              <a:avLst/>
              <a:gdLst>
                <a:gd name="T0" fmla="*/ 0 w 70"/>
                <a:gd name="T1" fmla="*/ 10 w 70"/>
                <a:gd name="T2" fmla="*/ 10 w 7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0">
                  <a:moveTo>
                    <a:pt x="0" y="0"/>
                  </a:moveTo>
                  <a:lnTo>
                    <a:pt x="69" y="0"/>
                  </a:lnTo>
                  <a:lnTo>
                    <a:pt x="7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" name="Freeform 508"/>
            <xdr:cNvSpPr>
              <a:spLocks noChangeAspect="1"/>
            </xdr:cNvSpPr>
          </xdr:nvSpPr>
          <xdr:spPr bwMode="auto">
            <a:xfrm>
              <a:off x="1357" y="1478"/>
              <a:ext cx="35" cy="0"/>
            </a:xfrm>
            <a:custGeom>
              <a:avLst/>
              <a:gdLst>
                <a:gd name="T0" fmla="*/ 0 w 98"/>
                <a:gd name="T1" fmla="*/ 13 w 98"/>
                <a:gd name="T2" fmla="*/ 13 w 9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">
                  <a:moveTo>
                    <a:pt x="0" y="0"/>
                  </a:moveTo>
                  <a:lnTo>
                    <a:pt x="97" y="0"/>
                  </a:lnTo>
                  <a:lnTo>
                    <a:pt x="9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6" name="Freeform 509"/>
            <xdr:cNvSpPr>
              <a:spLocks noChangeAspect="1"/>
            </xdr:cNvSpPr>
          </xdr:nvSpPr>
          <xdr:spPr bwMode="auto">
            <a:xfrm>
              <a:off x="1357" y="1460"/>
              <a:ext cx="0" cy="18"/>
            </a:xfrm>
            <a:custGeom>
              <a:avLst/>
              <a:gdLst>
                <a:gd name="T0" fmla="*/ 0 w 1"/>
                <a:gd name="T1" fmla="*/ 0 h 45"/>
                <a:gd name="T2" fmla="*/ 0 w 1"/>
                <a:gd name="T3" fmla="*/ 7 h 45"/>
                <a:gd name="T4" fmla="*/ 1 w 1"/>
                <a:gd name="T5" fmla="*/ 7 h 4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45">
                  <a:moveTo>
                    <a:pt x="0" y="0"/>
                  </a:moveTo>
                  <a:lnTo>
                    <a:pt x="0" y="45"/>
                  </a:lnTo>
                  <a:lnTo>
                    <a:pt x="1" y="45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7" name="Freeform 510"/>
            <xdr:cNvSpPr>
              <a:spLocks noChangeAspect="1"/>
            </xdr:cNvSpPr>
          </xdr:nvSpPr>
          <xdr:spPr bwMode="auto">
            <a:xfrm>
              <a:off x="1365" y="1478"/>
              <a:ext cx="27" cy="0"/>
            </a:xfrm>
            <a:custGeom>
              <a:avLst/>
              <a:gdLst>
                <a:gd name="T0" fmla="*/ 0 w 75"/>
                <a:gd name="T1" fmla="*/ 10 w 75"/>
                <a:gd name="T2" fmla="*/ 10 w 7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5">
                  <a:moveTo>
                    <a:pt x="0" y="0"/>
                  </a:moveTo>
                  <a:lnTo>
                    <a:pt x="74" y="0"/>
                  </a:lnTo>
                  <a:lnTo>
                    <a:pt x="7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8" name="Freeform 511"/>
            <xdr:cNvSpPr>
              <a:spLocks noChangeAspect="1"/>
            </xdr:cNvSpPr>
          </xdr:nvSpPr>
          <xdr:spPr bwMode="auto">
            <a:xfrm>
              <a:off x="1785" y="1478"/>
              <a:ext cx="34" cy="0"/>
            </a:xfrm>
            <a:custGeom>
              <a:avLst/>
              <a:gdLst>
                <a:gd name="T0" fmla="*/ 12 w 98"/>
                <a:gd name="T1" fmla="*/ 0 w 98"/>
                <a:gd name="T2" fmla="*/ 0 w 9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">
                  <a:moveTo>
                    <a:pt x="98" y="0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9" name="Freeform 512"/>
            <xdr:cNvSpPr>
              <a:spLocks noChangeAspect="1"/>
            </xdr:cNvSpPr>
          </xdr:nvSpPr>
          <xdr:spPr bwMode="auto">
            <a:xfrm>
              <a:off x="1783" y="1478"/>
              <a:ext cx="25" cy="0"/>
            </a:xfrm>
            <a:custGeom>
              <a:avLst/>
              <a:gdLst>
                <a:gd name="T0" fmla="*/ 8 w 75"/>
                <a:gd name="T1" fmla="*/ 0 w 75"/>
                <a:gd name="T2" fmla="*/ 0 w 7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5">
                  <a:moveTo>
                    <a:pt x="75" y="0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" name="Freeform 513"/>
            <xdr:cNvSpPr>
              <a:spLocks noChangeAspect="1"/>
            </xdr:cNvSpPr>
          </xdr:nvSpPr>
          <xdr:spPr bwMode="auto">
            <a:xfrm>
              <a:off x="1394" y="1495"/>
              <a:ext cx="391" cy="0"/>
            </a:xfrm>
            <a:custGeom>
              <a:avLst/>
              <a:gdLst>
                <a:gd name="T0" fmla="*/ 0 w 1095"/>
                <a:gd name="T1" fmla="*/ 140 w 1095"/>
                <a:gd name="T2" fmla="*/ 140 w 109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095">
                  <a:moveTo>
                    <a:pt x="0" y="0"/>
                  </a:moveTo>
                  <a:lnTo>
                    <a:pt x="1094" y="0"/>
                  </a:lnTo>
                  <a:lnTo>
                    <a:pt x="109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" name="Freeform 514"/>
            <xdr:cNvSpPr>
              <a:spLocks noChangeAspect="1"/>
            </xdr:cNvSpPr>
          </xdr:nvSpPr>
          <xdr:spPr bwMode="auto">
            <a:xfrm>
              <a:off x="1392" y="1487"/>
              <a:ext cx="2" cy="8"/>
            </a:xfrm>
            <a:custGeom>
              <a:avLst/>
              <a:gdLst>
                <a:gd name="T0" fmla="*/ 1 w 5"/>
                <a:gd name="T1" fmla="*/ 4 h 17"/>
                <a:gd name="T2" fmla="*/ 0 w 5"/>
                <a:gd name="T3" fmla="*/ 0 h 17"/>
                <a:gd name="T4" fmla="*/ 0 w 5"/>
                <a:gd name="T5" fmla="*/ 0 h 1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" h="17">
                  <a:moveTo>
                    <a:pt x="5" y="17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" name="Freeform 515"/>
            <xdr:cNvSpPr>
              <a:spLocks noChangeAspect="1"/>
            </xdr:cNvSpPr>
          </xdr:nvSpPr>
          <xdr:spPr bwMode="auto">
            <a:xfrm>
              <a:off x="1392" y="1478"/>
              <a:ext cx="2" cy="17"/>
            </a:xfrm>
            <a:custGeom>
              <a:avLst/>
              <a:gdLst>
                <a:gd name="T0" fmla="*/ 0 w 5"/>
                <a:gd name="T1" fmla="*/ 0 h 44"/>
                <a:gd name="T2" fmla="*/ 0 w 5"/>
                <a:gd name="T3" fmla="*/ 7 h 44"/>
                <a:gd name="T4" fmla="*/ 1 w 5"/>
                <a:gd name="T5" fmla="*/ 7 h 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" h="44">
                  <a:moveTo>
                    <a:pt x="0" y="0"/>
                  </a:moveTo>
                  <a:lnTo>
                    <a:pt x="3" y="44"/>
                  </a:lnTo>
                  <a:lnTo>
                    <a:pt x="5" y="4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" name="Freeform 516"/>
            <xdr:cNvSpPr>
              <a:spLocks noChangeAspect="1"/>
            </xdr:cNvSpPr>
          </xdr:nvSpPr>
          <xdr:spPr bwMode="auto">
            <a:xfrm>
              <a:off x="1783" y="1478"/>
              <a:ext cx="2" cy="17"/>
            </a:xfrm>
            <a:custGeom>
              <a:avLst/>
              <a:gdLst>
                <a:gd name="T0" fmla="*/ 2 w 2"/>
                <a:gd name="T1" fmla="*/ 0 h 44"/>
                <a:gd name="T2" fmla="*/ 0 w 2"/>
                <a:gd name="T3" fmla="*/ 7 h 44"/>
                <a:gd name="T4" fmla="*/ 1 w 2"/>
                <a:gd name="T5" fmla="*/ 7 h 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44">
                  <a:moveTo>
                    <a:pt x="2" y="0"/>
                  </a:moveTo>
                  <a:lnTo>
                    <a:pt x="0" y="44"/>
                  </a:lnTo>
                  <a:lnTo>
                    <a:pt x="1" y="4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" name="Freeform 517"/>
            <xdr:cNvSpPr>
              <a:spLocks noChangeAspect="1"/>
            </xdr:cNvSpPr>
          </xdr:nvSpPr>
          <xdr:spPr bwMode="auto">
            <a:xfrm rot="-4882971">
              <a:off x="1563" y="1307"/>
              <a:ext cx="64" cy="369"/>
            </a:xfrm>
            <a:custGeom>
              <a:avLst/>
              <a:gdLst>
                <a:gd name="T0" fmla="*/ 1 w 178"/>
                <a:gd name="T1" fmla="*/ 0 h 899"/>
                <a:gd name="T2" fmla="*/ 0 w 178"/>
                <a:gd name="T3" fmla="*/ 0 h 899"/>
                <a:gd name="T4" fmla="*/ 23 w 178"/>
                <a:gd name="T5" fmla="*/ 151 h 899"/>
                <a:gd name="T6" fmla="*/ 1 w 178"/>
                <a:gd name="T7" fmla="*/ 0 h 89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8" h="899">
                  <a:moveTo>
                    <a:pt x="7" y="0"/>
                  </a:moveTo>
                  <a:lnTo>
                    <a:pt x="0" y="2"/>
                  </a:lnTo>
                  <a:lnTo>
                    <a:pt x="178" y="899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" name="Freeform 518"/>
            <xdr:cNvSpPr>
              <a:spLocks noChangeAspect="1"/>
            </xdr:cNvSpPr>
          </xdr:nvSpPr>
          <xdr:spPr bwMode="auto">
            <a:xfrm rot="-4882971">
              <a:off x="1564" y="1310"/>
              <a:ext cx="63" cy="366"/>
            </a:xfrm>
            <a:custGeom>
              <a:avLst/>
              <a:gdLst>
                <a:gd name="T0" fmla="*/ 0 w 178"/>
                <a:gd name="T1" fmla="*/ 0 h 898"/>
                <a:gd name="T2" fmla="*/ 22 w 178"/>
                <a:gd name="T3" fmla="*/ 149 h 898"/>
                <a:gd name="T4" fmla="*/ 22 w 178"/>
                <a:gd name="T5" fmla="*/ 149 h 898"/>
                <a:gd name="T6" fmla="*/ 0 w 178"/>
                <a:gd name="T7" fmla="*/ 0 h 89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8" h="898">
                  <a:moveTo>
                    <a:pt x="0" y="0"/>
                  </a:moveTo>
                  <a:lnTo>
                    <a:pt x="178" y="897"/>
                  </a:lnTo>
                  <a:lnTo>
                    <a:pt x="171" y="89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" name="Freeform 519"/>
            <xdr:cNvSpPr>
              <a:spLocks noChangeAspect="1"/>
            </xdr:cNvSpPr>
          </xdr:nvSpPr>
          <xdr:spPr bwMode="auto">
            <a:xfrm rot="-4882971">
              <a:off x="1551" y="1298"/>
              <a:ext cx="65" cy="388"/>
            </a:xfrm>
            <a:custGeom>
              <a:avLst/>
              <a:gdLst>
                <a:gd name="T0" fmla="*/ 1 w 178"/>
                <a:gd name="T1" fmla="*/ 0 h 900"/>
                <a:gd name="T2" fmla="*/ 0 w 178"/>
                <a:gd name="T3" fmla="*/ 0 h 900"/>
                <a:gd name="T4" fmla="*/ 23 w 178"/>
                <a:gd name="T5" fmla="*/ 167 h 900"/>
                <a:gd name="T6" fmla="*/ 24 w 178"/>
                <a:gd name="T7" fmla="*/ 167 h 900"/>
                <a:gd name="T8" fmla="*/ 1 w 178"/>
                <a:gd name="T9" fmla="*/ 0 h 90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78" h="900">
                  <a:moveTo>
                    <a:pt x="7" y="0"/>
                  </a:moveTo>
                  <a:lnTo>
                    <a:pt x="0" y="2"/>
                  </a:lnTo>
                  <a:lnTo>
                    <a:pt x="171" y="900"/>
                  </a:lnTo>
                  <a:lnTo>
                    <a:pt x="178" y="899"/>
                  </a:lnTo>
                  <a:lnTo>
                    <a:pt x="7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" name="Freeform 520"/>
            <xdr:cNvSpPr>
              <a:spLocks noChangeAspect="1"/>
            </xdr:cNvSpPr>
          </xdr:nvSpPr>
          <xdr:spPr bwMode="auto">
            <a:xfrm rot="-4882971">
              <a:off x="1528" y="1265"/>
              <a:ext cx="65" cy="363"/>
            </a:xfrm>
            <a:custGeom>
              <a:avLst/>
              <a:gdLst>
                <a:gd name="T0" fmla="*/ 23 w 186"/>
                <a:gd name="T1" fmla="*/ 149 h 887"/>
                <a:gd name="T2" fmla="*/ 14 w 186"/>
                <a:gd name="T3" fmla="*/ 74 h 887"/>
                <a:gd name="T4" fmla="*/ 0 w 186"/>
                <a:gd name="T5" fmla="*/ 0 h 887"/>
                <a:gd name="T6" fmla="*/ 0 w 186"/>
                <a:gd name="T7" fmla="*/ 0 h 88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86" h="887">
                  <a:moveTo>
                    <a:pt x="186" y="887"/>
                  </a:moveTo>
                  <a:lnTo>
                    <a:pt x="116" y="439"/>
                  </a:lnTo>
                  <a:lnTo>
                    <a:pt x="0" y="0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" name="Freeform 521"/>
            <xdr:cNvSpPr>
              <a:spLocks noChangeAspect="1"/>
            </xdr:cNvSpPr>
          </xdr:nvSpPr>
          <xdr:spPr bwMode="auto">
            <a:xfrm rot="-4882971">
              <a:off x="1770" y="1489"/>
              <a:ext cx="21" cy="6"/>
            </a:xfrm>
            <a:custGeom>
              <a:avLst/>
              <a:gdLst>
                <a:gd name="T0" fmla="*/ 0 w 54"/>
                <a:gd name="T1" fmla="*/ 4 h 10"/>
                <a:gd name="T2" fmla="*/ 8 w 54"/>
                <a:gd name="T3" fmla="*/ 0 h 10"/>
                <a:gd name="T4" fmla="*/ 8 w 54"/>
                <a:gd name="T5" fmla="*/ 0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10">
                  <a:moveTo>
                    <a:pt x="0" y="10"/>
                  </a:moveTo>
                  <a:lnTo>
                    <a:pt x="53" y="0"/>
                  </a:lnTo>
                  <a:lnTo>
                    <a:pt x="5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522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3 w 23"/>
                <a:gd name="T3" fmla="*/ 0 h 7"/>
                <a:gd name="T4" fmla="*/ 0 w 23"/>
                <a:gd name="T5" fmla="*/ 1 h 7"/>
                <a:gd name="T6" fmla="*/ 3 w 23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7">
                  <a:moveTo>
                    <a:pt x="23" y="3"/>
                  </a:moveTo>
                  <a:lnTo>
                    <a:pt x="23" y="0"/>
                  </a:lnTo>
                  <a:lnTo>
                    <a:pt x="0" y="7"/>
                  </a:lnTo>
                  <a:lnTo>
                    <a:pt x="23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0" name="Freeform 523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4"/>
                <a:gd name="T1" fmla="*/ 0 h 7"/>
                <a:gd name="T2" fmla="*/ 0 w 24"/>
                <a:gd name="T3" fmla="*/ 1 h 7"/>
                <a:gd name="T4" fmla="*/ 0 w 24"/>
                <a:gd name="T5" fmla="*/ 1 h 7"/>
                <a:gd name="T6" fmla="*/ 3 w 24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7">
                  <a:moveTo>
                    <a:pt x="24" y="0"/>
                  </a:moveTo>
                  <a:lnTo>
                    <a:pt x="1" y="7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" name="Freeform 524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4"/>
                <a:gd name="T1" fmla="*/ 0 h 7"/>
                <a:gd name="T2" fmla="*/ 3 w 24"/>
                <a:gd name="T3" fmla="*/ 0 h 7"/>
                <a:gd name="T4" fmla="*/ 0 w 24"/>
                <a:gd name="T5" fmla="*/ 1 h 7"/>
                <a:gd name="T6" fmla="*/ 0 w 24"/>
                <a:gd name="T7" fmla="*/ 1 h 7"/>
                <a:gd name="T8" fmla="*/ 3 w 24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7">
                  <a:moveTo>
                    <a:pt x="24" y="3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7"/>
                  </a:lnTo>
                  <a:lnTo>
                    <a:pt x="24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" name="Freeform 525"/>
            <xdr:cNvSpPr>
              <a:spLocks noChangeAspect="1"/>
            </xdr:cNvSpPr>
          </xdr:nvSpPr>
          <xdr:spPr bwMode="auto">
            <a:xfrm rot="-4882971">
              <a:off x="1589" y="1475"/>
              <a:ext cx="14" cy="78"/>
            </a:xfrm>
            <a:custGeom>
              <a:avLst/>
              <a:gdLst>
                <a:gd name="T0" fmla="*/ 0 w 37"/>
                <a:gd name="T1" fmla="*/ 0 h 193"/>
                <a:gd name="T2" fmla="*/ 5 w 37"/>
                <a:gd name="T3" fmla="*/ 32 h 193"/>
                <a:gd name="T4" fmla="*/ 5 w 37"/>
                <a:gd name="T5" fmla="*/ 32 h 193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7" h="193">
                  <a:moveTo>
                    <a:pt x="0" y="0"/>
                  </a:moveTo>
                  <a:lnTo>
                    <a:pt x="36" y="193"/>
                  </a:lnTo>
                  <a:lnTo>
                    <a:pt x="37" y="19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" name="Freeform 526"/>
            <xdr:cNvSpPr>
              <a:spLocks noChangeAspect="1"/>
            </xdr:cNvSpPr>
          </xdr:nvSpPr>
          <xdr:spPr bwMode="auto">
            <a:xfrm rot="-4882971">
              <a:off x="1590" y="1489"/>
              <a:ext cx="13" cy="78"/>
            </a:xfrm>
            <a:custGeom>
              <a:avLst/>
              <a:gdLst>
                <a:gd name="T0" fmla="*/ 0 w 38"/>
                <a:gd name="T1" fmla="*/ 0 h 192"/>
                <a:gd name="T2" fmla="*/ 4 w 38"/>
                <a:gd name="T3" fmla="*/ 32 h 192"/>
                <a:gd name="T4" fmla="*/ 4 w 38"/>
                <a:gd name="T5" fmla="*/ 32 h 19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8" h="192">
                  <a:moveTo>
                    <a:pt x="0" y="0"/>
                  </a:moveTo>
                  <a:lnTo>
                    <a:pt x="37" y="192"/>
                  </a:lnTo>
                  <a:lnTo>
                    <a:pt x="38" y="19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" name="Freeform 527"/>
            <xdr:cNvSpPr>
              <a:spLocks noChangeAspect="1"/>
            </xdr:cNvSpPr>
          </xdr:nvSpPr>
          <xdr:spPr bwMode="auto">
            <a:xfrm rot="-4882971">
              <a:off x="1558" y="1315"/>
              <a:ext cx="61" cy="380"/>
            </a:xfrm>
            <a:custGeom>
              <a:avLst/>
              <a:gdLst>
                <a:gd name="T0" fmla="*/ 0 w 172"/>
                <a:gd name="T1" fmla="*/ 0 h 899"/>
                <a:gd name="T2" fmla="*/ 22 w 172"/>
                <a:gd name="T3" fmla="*/ 161 h 899"/>
                <a:gd name="T4" fmla="*/ 22 w 172"/>
                <a:gd name="T5" fmla="*/ 161 h 89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72" h="899">
                  <a:moveTo>
                    <a:pt x="0" y="0"/>
                  </a:moveTo>
                  <a:lnTo>
                    <a:pt x="171" y="899"/>
                  </a:lnTo>
                  <a:lnTo>
                    <a:pt x="172" y="899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" name="Freeform 528"/>
            <xdr:cNvSpPr>
              <a:spLocks noChangeAspect="1"/>
            </xdr:cNvSpPr>
          </xdr:nvSpPr>
          <xdr:spPr bwMode="auto">
            <a:xfrm rot="-4882971">
              <a:off x="1631" y="1521"/>
              <a:ext cx="5" cy="3"/>
            </a:xfrm>
            <a:custGeom>
              <a:avLst/>
              <a:gdLst>
                <a:gd name="T0" fmla="*/ 1 w 23"/>
                <a:gd name="T1" fmla="*/ 1 h 8"/>
                <a:gd name="T2" fmla="*/ 1 w 23"/>
                <a:gd name="T3" fmla="*/ 0 h 8"/>
                <a:gd name="T4" fmla="*/ 0 w 23"/>
                <a:gd name="T5" fmla="*/ 1 h 8"/>
                <a:gd name="T6" fmla="*/ 1 w 23"/>
                <a:gd name="T7" fmla="*/ 1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8">
                  <a:moveTo>
                    <a:pt x="23" y="4"/>
                  </a:moveTo>
                  <a:lnTo>
                    <a:pt x="23" y="0"/>
                  </a:lnTo>
                  <a:lnTo>
                    <a:pt x="0" y="8"/>
                  </a:lnTo>
                  <a:lnTo>
                    <a:pt x="23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" name="Freeform 529"/>
            <xdr:cNvSpPr>
              <a:spLocks noChangeAspect="1"/>
            </xdr:cNvSpPr>
          </xdr:nvSpPr>
          <xdr:spPr bwMode="auto">
            <a:xfrm rot="-4882971">
              <a:off x="1630" y="1521"/>
              <a:ext cx="8" cy="3"/>
            </a:xfrm>
            <a:custGeom>
              <a:avLst/>
              <a:gdLst>
                <a:gd name="T0" fmla="*/ 3 w 24"/>
                <a:gd name="T1" fmla="*/ 0 h 8"/>
                <a:gd name="T2" fmla="*/ 0 w 24"/>
                <a:gd name="T3" fmla="*/ 1 h 8"/>
                <a:gd name="T4" fmla="*/ 0 w 24"/>
                <a:gd name="T5" fmla="*/ 1 h 8"/>
                <a:gd name="T6" fmla="*/ 3 w 24"/>
                <a:gd name="T7" fmla="*/ 0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0"/>
                  </a:moveTo>
                  <a:lnTo>
                    <a:pt x="1" y="8"/>
                  </a:lnTo>
                  <a:lnTo>
                    <a:pt x="0" y="5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" name="Freeform 530"/>
            <xdr:cNvSpPr>
              <a:spLocks noChangeAspect="1"/>
            </xdr:cNvSpPr>
          </xdr:nvSpPr>
          <xdr:spPr bwMode="auto">
            <a:xfrm rot="-4882971">
              <a:off x="1630" y="1521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0 w 24"/>
                <a:gd name="T7" fmla="*/ 1 h 8"/>
                <a:gd name="T8" fmla="*/ 3 w 24"/>
                <a:gd name="T9" fmla="*/ 1 h 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5"/>
                  </a:lnTo>
                  <a:lnTo>
                    <a:pt x="1" y="8"/>
                  </a:lnTo>
                  <a:lnTo>
                    <a:pt x="24" y="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" name="Freeform 531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2"/>
                <a:gd name="T1" fmla="*/ 0 h 7"/>
                <a:gd name="T2" fmla="*/ 3 w 22"/>
                <a:gd name="T3" fmla="*/ 0 h 7"/>
                <a:gd name="T4" fmla="*/ 0 w 22"/>
                <a:gd name="T5" fmla="*/ 1 h 7"/>
                <a:gd name="T6" fmla="*/ 3 w 2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7">
                  <a:moveTo>
                    <a:pt x="22" y="3"/>
                  </a:moveTo>
                  <a:lnTo>
                    <a:pt x="22" y="0"/>
                  </a:lnTo>
                  <a:lnTo>
                    <a:pt x="0" y="7"/>
                  </a:lnTo>
                  <a:lnTo>
                    <a:pt x="2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9" name="Freeform 532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0 w 23"/>
                <a:gd name="T3" fmla="*/ 1 h 7"/>
                <a:gd name="T4" fmla="*/ 0 w 23"/>
                <a:gd name="T5" fmla="*/ 1 h 7"/>
                <a:gd name="T6" fmla="*/ 3 w 23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7">
                  <a:moveTo>
                    <a:pt x="23" y="0"/>
                  </a:moveTo>
                  <a:lnTo>
                    <a:pt x="1" y="7"/>
                  </a:lnTo>
                  <a:lnTo>
                    <a:pt x="0" y="4"/>
                  </a:lnTo>
                  <a:lnTo>
                    <a:pt x="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0" name="Freeform 533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3 w 23"/>
                <a:gd name="T3" fmla="*/ 0 h 7"/>
                <a:gd name="T4" fmla="*/ 0 w 23"/>
                <a:gd name="T5" fmla="*/ 1 h 7"/>
                <a:gd name="T6" fmla="*/ 0 w 23"/>
                <a:gd name="T7" fmla="*/ 1 h 7"/>
                <a:gd name="T8" fmla="*/ 3 w 23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3" h="7">
                  <a:moveTo>
                    <a:pt x="23" y="3"/>
                  </a:moveTo>
                  <a:lnTo>
                    <a:pt x="23" y="0"/>
                  </a:lnTo>
                  <a:lnTo>
                    <a:pt x="0" y="4"/>
                  </a:lnTo>
                  <a:lnTo>
                    <a:pt x="1" y="7"/>
                  </a:lnTo>
                  <a:lnTo>
                    <a:pt x="23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" name="Freeform 534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2"/>
                <a:gd name="T1" fmla="*/ 1 h 6"/>
                <a:gd name="T2" fmla="*/ 3 w 22"/>
                <a:gd name="T3" fmla="*/ 0 h 6"/>
                <a:gd name="T4" fmla="*/ 0 w 22"/>
                <a:gd name="T5" fmla="*/ 2 h 6"/>
                <a:gd name="T6" fmla="*/ 3 w 22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6">
                  <a:moveTo>
                    <a:pt x="22" y="2"/>
                  </a:moveTo>
                  <a:lnTo>
                    <a:pt x="22" y="0"/>
                  </a:lnTo>
                  <a:lnTo>
                    <a:pt x="0" y="6"/>
                  </a:lnTo>
                  <a:lnTo>
                    <a:pt x="2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" name="Freeform 535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2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3" name="Freeform 536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2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" name="Freeform 537"/>
            <xdr:cNvSpPr>
              <a:spLocks noChangeAspect="1"/>
            </xdr:cNvSpPr>
          </xdr:nvSpPr>
          <xdr:spPr bwMode="auto">
            <a:xfrm rot="-4882971">
              <a:off x="1630" y="1518"/>
              <a:ext cx="14" cy="3"/>
            </a:xfrm>
            <a:custGeom>
              <a:avLst/>
              <a:gdLst>
                <a:gd name="T0" fmla="*/ 6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5" name="Freeform 538"/>
            <xdr:cNvSpPr>
              <a:spLocks noChangeAspect="1"/>
            </xdr:cNvSpPr>
          </xdr:nvSpPr>
          <xdr:spPr bwMode="auto">
            <a:xfrm rot="-4882971">
              <a:off x="1618" y="1507"/>
              <a:ext cx="12" cy="3"/>
            </a:xfrm>
            <a:custGeom>
              <a:avLst/>
              <a:gdLst>
                <a:gd name="T0" fmla="*/ 4 w 33"/>
                <a:gd name="T1" fmla="*/ 0 h 7"/>
                <a:gd name="T2" fmla="*/ 0 w 33"/>
                <a:gd name="T3" fmla="*/ 1 h 7"/>
                <a:gd name="T4" fmla="*/ 0 w 33"/>
                <a:gd name="T5" fmla="*/ 1 h 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3" h="7">
                  <a:moveTo>
                    <a:pt x="33" y="0"/>
                  </a:moveTo>
                  <a:lnTo>
                    <a:pt x="0" y="7"/>
                  </a:lnTo>
                  <a:lnTo>
                    <a:pt x="1" y="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" name="Freeform 539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4 w 23"/>
                <a:gd name="T1" fmla="*/ 1 h 6"/>
                <a:gd name="T2" fmla="*/ 4 w 23"/>
                <a:gd name="T3" fmla="*/ 0 h 6"/>
                <a:gd name="T4" fmla="*/ 0 w 23"/>
                <a:gd name="T5" fmla="*/ 2 h 6"/>
                <a:gd name="T6" fmla="*/ 4 w 23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6"/>
                  </a:lnTo>
                  <a:lnTo>
                    <a:pt x="2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" name="Freeform 540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8" name="Freeform 541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9" name="Freeform 542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2"/>
                <a:gd name="T1" fmla="*/ 1 h 6"/>
                <a:gd name="T2" fmla="*/ 3 w 22"/>
                <a:gd name="T3" fmla="*/ 0 h 6"/>
                <a:gd name="T4" fmla="*/ 0 w 22"/>
                <a:gd name="T5" fmla="*/ 2 h 6"/>
                <a:gd name="T6" fmla="*/ 3 w 22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6">
                  <a:moveTo>
                    <a:pt x="22" y="2"/>
                  </a:moveTo>
                  <a:lnTo>
                    <a:pt x="22" y="0"/>
                  </a:lnTo>
                  <a:lnTo>
                    <a:pt x="0" y="6"/>
                  </a:lnTo>
                  <a:lnTo>
                    <a:pt x="2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" name="Freeform 543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3"/>
                <a:gd name="T1" fmla="*/ 0 h 6"/>
                <a:gd name="T2" fmla="*/ 0 w 23"/>
                <a:gd name="T3" fmla="*/ 2 h 6"/>
                <a:gd name="T4" fmla="*/ 0 w 23"/>
                <a:gd name="T5" fmla="*/ 1 h 6"/>
                <a:gd name="T6" fmla="*/ 3 w 23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" name="Freeform 544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3"/>
                <a:gd name="T1" fmla="*/ 1 h 6"/>
                <a:gd name="T2" fmla="*/ 3 w 23"/>
                <a:gd name="T3" fmla="*/ 0 h 6"/>
                <a:gd name="T4" fmla="*/ 0 w 23"/>
                <a:gd name="T5" fmla="*/ 1 h 6"/>
                <a:gd name="T6" fmla="*/ 0 w 23"/>
                <a:gd name="T7" fmla="*/ 2 h 6"/>
                <a:gd name="T8" fmla="*/ 3 w 23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3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" name="Freeform 545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3 w 24"/>
                <a:gd name="T7" fmla="*/ 1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8"/>
                  </a:lnTo>
                  <a:lnTo>
                    <a:pt x="24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" name="Freeform 546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0 h 8"/>
                <a:gd name="T2" fmla="*/ 0 w 24"/>
                <a:gd name="T3" fmla="*/ 1 h 8"/>
                <a:gd name="T4" fmla="*/ 0 w 24"/>
                <a:gd name="T5" fmla="*/ 1 h 8"/>
                <a:gd name="T6" fmla="*/ 3 w 24"/>
                <a:gd name="T7" fmla="*/ 0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0"/>
                  </a:moveTo>
                  <a:lnTo>
                    <a:pt x="0" y="8"/>
                  </a:lnTo>
                  <a:lnTo>
                    <a:pt x="0" y="5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" name="Freeform 547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0 w 24"/>
                <a:gd name="T7" fmla="*/ 1 h 8"/>
                <a:gd name="T8" fmla="*/ 3 w 24"/>
                <a:gd name="T9" fmla="*/ 1 h 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5"/>
                  </a:lnTo>
                  <a:lnTo>
                    <a:pt x="0" y="8"/>
                  </a:lnTo>
                  <a:lnTo>
                    <a:pt x="24" y="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5" name="Freeform 548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4 w 23"/>
                <a:gd name="T1" fmla="*/ 1 h 6"/>
                <a:gd name="T2" fmla="*/ 4 w 23"/>
                <a:gd name="T3" fmla="*/ 0 h 6"/>
                <a:gd name="T4" fmla="*/ 0 w 23"/>
                <a:gd name="T5" fmla="*/ 2 h 6"/>
                <a:gd name="T6" fmla="*/ 4 w 23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6"/>
                  </a:lnTo>
                  <a:lnTo>
                    <a:pt x="2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" name="Freeform 549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7" name="Freeform 550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8" name="Freeform 551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4 w 22"/>
                <a:gd name="T1" fmla="*/ 0 h 7"/>
                <a:gd name="T2" fmla="*/ 4 w 22"/>
                <a:gd name="T3" fmla="*/ 0 h 7"/>
                <a:gd name="T4" fmla="*/ 0 w 22"/>
                <a:gd name="T5" fmla="*/ 1 h 7"/>
                <a:gd name="T6" fmla="*/ 4 w 2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7">
                  <a:moveTo>
                    <a:pt x="22" y="3"/>
                  </a:moveTo>
                  <a:lnTo>
                    <a:pt x="22" y="0"/>
                  </a:lnTo>
                  <a:lnTo>
                    <a:pt x="0" y="7"/>
                  </a:lnTo>
                  <a:lnTo>
                    <a:pt x="2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9" name="Freeform 552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3 w 24"/>
                <a:gd name="T1" fmla="*/ 0 h 7"/>
                <a:gd name="T2" fmla="*/ 0 w 24"/>
                <a:gd name="T3" fmla="*/ 1 h 7"/>
                <a:gd name="T4" fmla="*/ 0 w 24"/>
                <a:gd name="T5" fmla="*/ 1 h 7"/>
                <a:gd name="T6" fmla="*/ 3 w 24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7">
                  <a:moveTo>
                    <a:pt x="24" y="0"/>
                  </a:moveTo>
                  <a:lnTo>
                    <a:pt x="2" y="7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0" name="Freeform 553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3 w 24"/>
                <a:gd name="T1" fmla="*/ 0 h 7"/>
                <a:gd name="T2" fmla="*/ 3 w 24"/>
                <a:gd name="T3" fmla="*/ 0 h 7"/>
                <a:gd name="T4" fmla="*/ 0 w 24"/>
                <a:gd name="T5" fmla="*/ 1 h 7"/>
                <a:gd name="T6" fmla="*/ 0 w 24"/>
                <a:gd name="T7" fmla="*/ 1 h 7"/>
                <a:gd name="T8" fmla="*/ 3 w 24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7">
                  <a:moveTo>
                    <a:pt x="24" y="3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2" y="7"/>
                  </a:lnTo>
                  <a:lnTo>
                    <a:pt x="24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1" name="Freeform 554"/>
            <xdr:cNvSpPr>
              <a:spLocks noChangeAspect="1"/>
            </xdr:cNvSpPr>
          </xdr:nvSpPr>
          <xdr:spPr bwMode="auto">
            <a:xfrm rot="-4882971">
              <a:off x="1553" y="1520"/>
              <a:ext cx="12" cy="3"/>
            </a:xfrm>
            <a:custGeom>
              <a:avLst/>
              <a:gdLst>
                <a:gd name="T0" fmla="*/ 4 w 36"/>
                <a:gd name="T1" fmla="*/ 0 h 7"/>
                <a:gd name="T2" fmla="*/ 0 w 36"/>
                <a:gd name="T3" fmla="*/ 1 h 7"/>
                <a:gd name="T4" fmla="*/ 0 w 36"/>
                <a:gd name="T5" fmla="*/ 1 h 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6" h="7">
                  <a:moveTo>
                    <a:pt x="36" y="0"/>
                  </a:moveTo>
                  <a:lnTo>
                    <a:pt x="0" y="7"/>
                  </a:lnTo>
                  <a:lnTo>
                    <a:pt x="1" y="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2" name="Freeform 555"/>
            <xdr:cNvSpPr>
              <a:spLocks noChangeAspect="1"/>
            </xdr:cNvSpPr>
          </xdr:nvSpPr>
          <xdr:spPr bwMode="auto">
            <a:xfrm rot="-4882971">
              <a:off x="1563" y="1507"/>
              <a:ext cx="12" cy="3"/>
            </a:xfrm>
            <a:custGeom>
              <a:avLst/>
              <a:gdLst>
                <a:gd name="T0" fmla="*/ 4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3" name="Freeform 556"/>
            <xdr:cNvSpPr>
              <a:spLocks noChangeAspect="1"/>
            </xdr:cNvSpPr>
          </xdr:nvSpPr>
          <xdr:spPr bwMode="auto">
            <a:xfrm rot="-4882971">
              <a:off x="1563" y="1507"/>
              <a:ext cx="12" cy="3"/>
            </a:xfrm>
            <a:custGeom>
              <a:avLst/>
              <a:gdLst>
                <a:gd name="T0" fmla="*/ 4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4" name="Freeform 557"/>
            <xdr:cNvSpPr>
              <a:spLocks noChangeAspect="1"/>
            </xdr:cNvSpPr>
          </xdr:nvSpPr>
          <xdr:spPr bwMode="auto">
            <a:xfrm rot="-4882971">
              <a:off x="1384" y="1495"/>
              <a:ext cx="21" cy="3"/>
            </a:xfrm>
            <a:custGeom>
              <a:avLst/>
              <a:gdLst>
                <a:gd name="T0" fmla="*/ 8 w 53"/>
                <a:gd name="T1" fmla="*/ 0 h 10"/>
                <a:gd name="T2" fmla="*/ 0 w 53"/>
                <a:gd name="T3" fmla="*/ 1 h 10"/>
                <a:gd name="T4" fmla="*/ 0 w 53"/>
                <a:gd name="T5" fmla="*/ 1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3" h="10">
                  <a:moveTo>
                    <a:pt x="53" y="0"/>
                  </a:moveTo>
                  <a:lnTo>
                    <a:pt x="0" y="10"/>
                  </a:lnTo>
                  <a:lnTo>
                    <a:pt x="1" y="1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5" name="Freeform 558"/>
            <xdr:cNvSpPr>
              <a:spLocks noChangeAspect="1"/>
            </xdr:cNvSpPr>
          </xdr:nvSpPr>
          <xdr:spPr bwMode="auto">
            <a:xfrm rot="-4882971">
              <a:off x="1353" y="1453"/>
              <a:ext cx="26" cy="18"/>
            </a:xfrm>
            <a:custGeom>
              <a:avLst/>
              <a:gdLst>
                <a:gd name="T0" fmla="*/ 9 w 74"/>
                <a:gd name="T1" fmla="*/ 7 h 45"/>
                <a:gd name="T2" fmla="*/ 7 w 74"/>
                <a:gd name="T3" fmla="*/ 3 h 45"/>
                <a:gd name="T4" fmla="*/ 4 w 74"/>
                <a:gd name="T5" fmla="*/ 0 h 45"/>
                <a:gd name="T6" fmla="*/ 0 w 74"/>
                <a:gd name="T7" fmla="*/ 0 h 45"/>
                <a:gd name="T8" fmla="*/ 0 w 74"/>
                <a:gd name="T9" fmla="*/ 0 h 4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74" h="45">
                  <a:moveTo>
                    <a:pt x="74" y="45"/>
                  </a:moveTo>
                  <a:lnTo>
                    <a:pt x="58" y="19"/>
                  </a:lnTo>
                  <a:lnTo>
                    <a:pt x="31" y="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6" name="Freeform 559"/>
            <xdr:cNvSpPr>
              <a:spLocks noChangeAspect="1"/>
            </xdr:cNvSpPr>
          </xdr:nvSpPr>
          <xdr:spPr bwMode="auto">
            <a:xfrm rot="-4882971">
              <a:off x="1831" y="1461"/>
              <a:ext cx="3" cy="24"/>
            </a:xfrm>
            <a:custGeom>
              <a:avLst/>
              <a:gdLst>
                <a:gd name="T0" fmla="*/ 0 w 10"/>
                <a:gd name="T1" fmla="*/ 10 h 56"/>
                <a:gd name="T2" fmla="*/ 1 w 10"/>
                <a:gd name="T3" fmla="*/ 0 h 56"/>
                <a:gd name="T4" fmla="*/ 1 w 10"/>
                <a:gd name="T5" fmla="*/ 0 h 5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0" h="56">
                  <a:moveTo>
                    <a:pt x="0" y="56"/>
                  </a:moveTo>
                  <a:lnTo>
                    <a:pt x="9" y="0"/>
                  </a:lnTo>
                  <a:lnTo>
                    <a:pt x="1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7" name="Freeform 560"/>
            <xdr:cNvSpPr>
              <a:spLocks noChangeAspect="1"/>
            </xdr:cNvSpPr>
          </xdr:nvSpPr>
          <xdr:spPr bwMode="auto">
            <a:xfrm rot="-4882971">
              <a:off x="1843" y="1449"/>
              <a:ext cx="32" cy="26"/>
            </a:xfrm>
            <a:custGeom>
              <a:avLst/>
              <a:gdLst>
                <a:gd name="T0" fmla="*/ 0 w 89"/>
                <a:gd name="T1" fmla="*/ 0 h 60"/>
                <a:gd name="T2" fmla="*/ 0 w 89"/>
                <a:gd name="T3" fmla="*/ 6 h 60"/>
                <a:gd name="T4" fmla="*/ 3 w 89"/>
                <a:gd name="T5" fmla="*/ 10 h 60"/>
                <a:gd name="T6" fmla="*/ 7 w 89"/>
                <a:gd name="T7" fmla="*/ 11 h 60"/>
                <a:gd name="T8" fmla="*/ 10 w 89"/>
                <a:gd name="T9" fmla="*/ 8 h 60"/>
                <a:gd name="T10" fmla="*/ 12 w 89"/>
                <a:gd name="T11" fmla="*/ 2 h 60"/>
                <a:gd name="T12" fmla="*/ 12 w 89"/>
                <a:gd name="T13" fmla="*/ 2 h 60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89" h="60">
                  <a:moveTo>
                    <a:pt x="1" y="0"/>
                  </a:moveTo>
                  <a:lnTo>
                    <a:pt x="0" y="31"/>
                  </a:lnTo>
                  <a:lnTo>
                    <a:pt x="21" y="56"/>
                  </a:lnTo>
                  <a:lnTo>
                    <a:pt x="52" y="60"/>
                  </a:lnTo>
                  <a:lnTo>
                    <a:pt x="79" y="42"/>
                  </a:lnTo>
                  <a:lnTo>
                    <a:pt x="88" y="12"/>
                  </a:lnTo>
                  <a:lnTo>
                    <a:pt x="89" y="1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8" name="Freeform 561"/>
            <xdr:cNvSpPr>
              <a:spLocks noChangeAspect="1"/>
            </xdr:cNvSpPr>
          </xdr:nvSpPr>
          <xdr:spPr bwMode="auto">
            <a:xfrm rot="-4882971">
              <a:off x="1549" y="1244"/>
              <a:ext cx="77" cy="460"/>
            </a:xfrm>
            <a:custGeom>
              <a:avLst/>
              <a:gdLst>
                <a:gd name="T0" fmla="*/ 27 w 219"/>
                <a:gd name="T1" fmla="*/ 188 h 1128"/>
                <a:gd name="T2" fmla="*/ 22 w 219"/>
                <a:gd name="T3" fmla="*/ 124 h 1128"/>
                <a:gd name="T4" fmla="*/ 13 w 219"/>
                <a:gd name="T5" fmla="*/ 62 h 1128"/>
                <a:gd name="T6" fmla="*/ 0 w 219"/>
                <a:gd name="T7" fmla="*/ 0 h 1128"/>
                <a:gd name="T8" fmla="*/ 0 w 219"/>
                <a:gd name="T9" fmla="*/ 0 h 112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19" h="1128">
                  <a:moveTo>
                    <a:pt x="219" y="1128"/>
                  </a:moveTo>
                  <a:lnTo>
                    <a:pt x="179" y="746"/>
                  </a:lnTo>
                  <a:lnTo>
                    <a:pt x="106" y="370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9" name="Freeform 562"/>
            <xdr:cNvSpPr>
              <a:spLocks noChangeAspect="1"/>
            </xdr:cNvSpPr>
          </xdr:nvSpPr>
          <xdr:spPr bwMode="auto">
            <a:xfrm rot="-4882971">
              <a:off x="1794" y="1389"/>
              <a:ext cx="11" cy="109"/>
            </a:xfrm>
            <a:custGeom>
              <a:avLst/>
              <a:gdLst>
                <a:gd name="T0" fmla="*/ 4 w 28"/>
                <a:gd name="T1" fmla="*/ 45 h 266"/>
                <a:gd name="T2" fmla="*/ 0 w 28"/>
                <a:gd name="T3" fmla="*/ 0 h 266"/>
                <a:gd name="T4" fmla="*/ 0 w 28"/>
                <a:gd name="T5" fmla="*/ 0 h 26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8" h="266">
                  <a:moveTo>
                    <a:pt x="28" y="266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" name="Freeform 563"/>
            <xdr:cNvSpPr>
              <a:spLocks noChangeAspect="1"/>
            </xdr:cNvSpPr>
          </xdr:nvSpPr>
          <xdr:spPr bwMode="auto">
            <a:xfrm>
              <a:off x="1783" y="1478"/>
              <a:ext cx="116" cy="0"/>
            </a:xfrm>
            <a:custGeom>
              <a:avLst/>
              <a:gdLst>
                <a:gd name="T0" fmla="*/ 0 w 332"/>
                <a:gd name="T1" fmla="*/ 41 w 332"/>
                <a:gd name="T2" fmla="*/ 41 w 33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332">
                  <a:moveTo>
                    <a:pt x="0" y="0"/>
                  </a:moveTo>
                  <a:lnTo>
                    <a:pt x="331" y="0"/>
                  </a:lnTo>
                  <a:lnTo>
                    <a:pt x="33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" name="Freeform 564"/>
            <xdr:cNvSpPr>
              <a:spLocks noChangeAspect="1"/>
            </xdr:cNvSpPr>
          </xdr:nvSpPr>
          <xdr:spPr bwMode="auto">
            <a:xfrm>
              <a:off x="1899" y="1478"/>
              <a:ext cx="32" cy="34"/>
            </a:xfrm>
            <a:custGeom>
              <a:avLst/>
              <a:gdLst>
                <a:gd name="T0" fmla="*/ 12 w 84"/>
                <a:gd name="T1" fmla="*/ 13 h 87"/>
                <a:gd name="T2" fmla="*/ 11 w 84"/>
                <a:gd name="T3" fmla="*/ 7 h 87"/>
                <a:gd name="T4" fmla="*/ 6 w 84"/>
                <a:gd name="T5" fmla="*/ 2 h 87"/>
                <a:gd name="T6" fmla="*/ 0 w 84"/>
                <a:gd name="T7" fmla="*/ 0 h 87"/>
                <a:gd name="T8" fmla="*/ 0 w 84"/>
                <a:gd name="T9" fmla="*/ 0 h 8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87">
                  <a:moveTo>
                    <a:pt x="84" y="87"/>
                  </a:moveTo>
                  <a:lnTo>
                    <a:pt x="75" y="44"/>
                  </a:lnTo>
                  <a:lnTo>
                    <a:pt x="43" y="11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" name="Freeform 565"/>
            <xdr:cNvSpPr>
              <a:spLocks noChangeAspect="1"/>
            </xdr:cNvSpPr>
          </xdr:nvSpPr>
          <xdr:spPr bwMode="auto">
            <a:xfrm>
              <a:off x="1314" y="1478"/>
              <a:ext cx="32" cy="34"/>
            </a:xfrm>
            <a:custGeom>
              <a:avLst/>
              <a:gdLst>
                <a:gd name="T0" fmla="*/ 12 w 84"/>
                <a:gd name="T1" fmla="*/ 0 h 87"/>
                <a:gd name="T2" fmla="*/ 6 w 84"/>
                <a:gd name="T3" fmla="*/ 2 h 87"/>
                <a:gd name="T4" fmla="*/ 1 w 84"/>
                <a:gd name="T5" fmla="*/ 7 h 87"/>
                <a:gd name="T6" fmla="*/ 0 w 84"/>
                <a:gd name="T7" fmla="*/ 13 h 87"/>
                <a:gd name="T8" fmla="*/ 0 w 84"/>
                <a:gd name="T9" fmla="*/ 13 h 8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87">
                  <a:moveTo>
                    <a:pt x="84" y="0"/>
                  </a:moveTo>
                  <a:lnTo>
                    <a:pt x="41" y="11"/>
                  </a:lnTo>
                  <a:lnTo>
                    <a:pt x="9" y="44"/>
                  </a:lnTo>
                  <a:lnTo>
                    <a:pt x="0" y="87"/>
                  </a:lnTo>
                  <a:lnTo>
                    <a:pt x="1" y="8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" name="Freeform 566"/>
            <xdr:cNvSpPr>
              <a:spLocks noChangeAspect="1"/>
            </xdr:cNvSpPr>
          </xdr:nvSpPr>
          <xdr:spPr bwMode="auto">
            <a:xfrm>
              <a:off x="1346" y="1478"/>
              <a:ext cx="48" cy="0"/>
            </a:xfrm>
            <a:custGeom>
              <a:avLst/>
              <a:gdLst>
                <a:gd name="T0" fmla="*/ 0 w 134"/>
                <a:gd name="T1" fmla="*/ 17 w 134"/>
                <a:gd name="T2" fmla="*/ 17 w 13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34">
                  <a:moveTo>
                    <a:pt x="0" y="0"/>
                  </a:moveTo>
                  <a:lnTo>
                    <a:pt x="133" y="0"/>
                  </a:lnTo>
                  <a:lnTo>
                    <a:pt x="13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" name="Freeform 567"/>
            <xdr:cNvSpPr>
              <a:spLocks noChangeAspect="1"/>
            </xdr:cNvSpPr>
          </xdr:nvSpPr>
          <xdr:spPr bwMode="auto">
            <a:xfrm>
              <a:off x="1914" y="1627"/>
              <a:ext cx="849" cy="0"/>
            </a:xfrm>
            <a:custGeom>
              <a:avLst/>
              <a:gdLst>
                <a:gd name="T0" fmla="*/ 0 w 1830"/>
                <a:gd name="T1" fmla="*/ 394 w 1830"/>
                <a:gd name="T2" fmla="*/ 394 w 183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830">
                  <a:moveTo>
                    <a:pt x="0" y="0"/>
                  </a:moveTo>
                  <a:lnTo>
                    <a:pt x="1829" y="0"/>
                  </a:lnTo>
                  <a:lnTo>
                    <a:pt x="183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" name="Freeform 568"/>
            <xdr:cNvSpPr>
              <a:spLocks noChangeAspect="1"/>
            </xdr:cNvSpPr>
          </xdr:nvSpPr>
          <xdr:spPr bwMode="auto">
            <a:xfrm>
              <a:off x="3480" y="1627"/>
              <a:ext cx="100" cy="106"/>
            </a:xfrm>
            <a:custGeom>
              <a:avLst/>
              <a:gdLst>
                <a:gd name="T0" fmla="*/ 35 w 282"/>
                <a:gd name="T1" fmla="*/ 44 h 255"/>
                <a:gd name="T2" fmla="*/ 33 w 282"/>
                <a:gd name="T3" fmla="*/ 30 h 255"/>
                <a:gd name="T4" fmla="*/ 28 w 282"/>
                <a:gd name="T5" fmla="*/ 18 h 255"/>
                <a:gd name="T6" fmla="*/ 20 w 282"/>
                <a:gd name="T7" fmla="*/ 8 h 255"/>
                <a:gd name="T8" fmla="*/ 10 w 282"/>
                <a:gd name="T9" fmla="*/ 2 h 255"/>
                <a:gd name="T10" fmla="*/ 0 w 282"/>
                <a:gd name="T11" fmla="*/ 0 h 255"/>
                <a:gd name="T12" fmla="*/ 0 w 282"/>
                <a:gd name="T13" fmla="*/ 0 h 25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2" h="255">
                  <a:moveTo>
                    <a:pt x="282" y="255"/>
                  </a:moveTo>
                  <a:lnTo>
                    <a:pt x="263" y="175"/>
                  </a:lnTo>
                  <a:lnTo>
                    <a:pt x="220" y="103"/>
                  </a:lnTo>
                  <a:lnTo>
                    <a:pt x="158" y="48"/>
                  </a:lnTo>
                  <a:lnTo>
                    <a:pt x="82" y="1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" name="Freeform 569"/>
            <xdr:cNvSpPr>
              <a:spLocks noChangeAspect="1"/>
            </xdr:cNvSpPr>
          </xdr:nvSpPr>
          <xdr:spPr bwMode="auto">
            <a:xfrm>
              <a:off x="3609" y="1987"/>
              <a:ext cx="5" cy="74"/>
            </a:xfrm>
            <a:custGeom>
              <a:avLst/>
              <a:gdLst>
                <a:gd name="T0" fmla="*/ 2 w 16"/>
                <a:gd name="T1" fmla="*/ 30 h 183"/>
                <a:gd name="T2" fmla="*/ 0 w 16"/>
                <a:gd name="T3" fmla="*/ 0 h 183"/>
                <a:gd name="T4" fmla="*/ 0 w 16"/>
                <a:gd name="T5" fmla="*/ 0 h 183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6" h="183">
                  <a:moveTo>
                    <a:pt x="16" y="183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" name="Freeform 570"/>
            <xdr:cNvSpPr>
              <a:spLocks noChangeAspect="1"/>
            </xdr:cNvSpPr>
          </xdr:nvSpPr>
          <xdr:spPr bwMode="auto">
            <a:xfrm>
              <a:off x="3603" y="1981"/>
              <a:ext cx="6" cy="6"/>
            </a:xfrm>
            <a:custGeom>
              <a:avLst/>
              <a:gdLst>
                <a:gd name="T0" fmla="*/ 3 w 11"/>
                <a:gd name="T1" fmla="*/ 3 h 13"/>
                <a:gd name="T2" fmla="*/ 2 w 11"/>
                <a:gd name="T3" fmla="*/ 1 h 13"/>
                <a:gd name="T4" fmla="*/ 0 w 11"/>
                <a:gd name="T5" fmla="*/ 0 h 13"/>
                <a:gd name="T6" fmla="*/ 1 w 11"/>
                <a:gd name="T7" fmla="*/ 0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13">
                  <a:moveTo>
                    <a:pt x="11" y="13"/>
                  </a:moveTo>
                  <a:lnTo>
                    <a:pt x="8" y="5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" name="Freeform 571"/>
            <xdr:cNvSpPr>
              <a:spLocks noChangeAspect="1"/>
            </xdr:cNvSpPr>
          </xdr:nvSpPr>
          <xdr:spPr bwMode="auto">
            <a:xfrm>
              <a:off x="3600" y="1977"/>
              <a:ext cx="3" cy="4"/>
            </a:xfrm>
            <a:custGeom>
              <a:avLst/>
              <a:gdLst>
                <a:gd name="T0" fmla="*/ 0 w 11"/>
                <a:gd name="T1" fmla="*/ 0 h 12"/>
                <a:gd name="T2" fmla="*/ 0 w 11"/>
                <a:gd name="T3" fmla="*/ 1 h 12"/>
                <a:gd name="T4" fmla="*/ 1 w 11"/>
                <a:gd name="T5" fmla="*/ 1 h 12"/>
                <a:gd name="T6" fmla="*/ 1 w 11"/>
                <a:gd name="T7" fmla="*/ 1 h 12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12">
                  <a:moveTo>
                    <a:pt x="0" y="0"/>
                  </a:moveTo>
                  <a:lnTo>
                    <a:pt x="3" y="8"/>
                  </a:lnTo>
                  <a:lnTo>
                    <a:pt x="10" y="12"/>
                  </a:lnTo>
                  <a:lnTo>
                    <a:pt x="11" y="1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" name="Freeform 572"/>
            <xdr:cNvSpPr>
              <a:spLocks noChangeAspect="1"/>
            </xdr:cNvSpPr>
          </xdr:nvSpPr>
          <xdr:spPr bwMode="auto">
            <a:xfrm>
              <a:off x="3580" y="1733"/>
              <a:ext cx="20" cy="244"/>
            </a:xfrm>
            <a:custGeom>
              <a:avLst/>
              <a:gdLst>
                <a:gd name="T0" fmla="*/ 7 w 54"/>
                <a:gd name="T1" fmla="*/ 99 h 602"/>
                <a:gd name="T2" fmla="*/ 0 w 54"/>
                <a:gd name="T3" fmla="*/ 0 h 602"/>
                <a:gd name="T4" fmla="*/ 0 w 54"/>
                <a:gd name="T5" fmla="*/ 0 h 60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602">
                  <a:moveTo>
                    <a:pt x="54" y="602"/>
                  </a:moveTo>
                  <a:lnTo>
                    <a:pt x="0" y="0"/>
                  </a:lnTo>
                  <a:lnTo>
                    <a:pt x="2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" name="Freeform 573"/>
            <xdr:cNvSpPr>
              <a:spLocks noChangeAspect="1"/>
            </xdr:cNvSpPr>
          </xdr:nvSpPr>
          <xdr:spPr bwMode="auto">
            <a:xfrm>
              <a:off x="3549" y="2061"/>
              <a:ext cx="65" cy="834"/>
            </a:xfrm>
            <a:custGeom>
              <a:avLst/>
              <a:gdLst>
                <a:gd name="T0" fmla="*/ 23 w 180"/>
                <a:gd name="T1" fmla="*/ 0 h 2044"/>
                <a:gd name="T2" fmla="*/ 0 w 180"/>
                <a:gd name="T3" fmla="*/ 340 h 2044"/>
                <a:gd name="T4" fmla="*/ 0 w 180"/>
                <a:gd name="T5" fmla="*/ 340 h 20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80" h="2044">
                  <a:moveTo>
                    <a:pt x="180" y="0"/>
                  </a:moveTo>
                  <a:lnTo>
                    <a:pt x="0" y="2044"/>
                  </a:lnTo>
                  <a:lnTo>
                    <a:pt x="1" y="2044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" name="Freeform 574"/>
            <xdr:cNvSpPr>
              <a:spLocks noChangeAspect="1"/>
            </xdr:cNvSpPr>
          </xdr:nvSpPr>
          <xdr:spPr bwMode="auto">
            <a:xfrm>
              <a:off x="1115" y="1627"/>
              <a:ext cx="99" cy="106"/>
            </a:xfrm>
            <a:custGeom>
              <a:avLst/>
              <a:gdLst>
                <a:gd name="T0" fmla="*/ 35 w 282"/>
                <a:gd name="T1" fmla="*/ 0 h 255"/>
                <a:gd name="T2" fmla="*/ 25 w 282"/>
                <a:gd name="T3" fmla="*/ 2 h 255"/>
                <a:gd name="T4" fmla="*/ 15 w 282"/>
                <a:gd name="T5" fmla="*/ 8 h 255"/>
                <a:gd name="T6" fmla="*/ 8 w 282"/>
                <a:gd name="T7" fmla="*/ 18 h 255"/>
                <a:gd name="T8" fmla="*/ 2 w 282"/>
                <a:gd name="T9" fmla="*/ 30 h 255"/>
                <a:gd name="T10" fmla="*/ 0 w 282"/>
                <a:gd name="T11" fmla="*/ 44 h 255"/>
                <a:gd name="T12" fmla="*/ 0 w 282"/>
                <a:gd name="T13" fmla="*/ 44 h 25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2" h="255">
                  <a:moveTo>
                    <a:pt x="282" y="0"/>
                  </a:moveTo>
                  <a:lnTo>
                    <a:pt x="200" y="12"/>
                  </a:lnTo>
                  <a:lnTo>
                    <a:pt x="124" y="48"/>
                  </a:lnTo>
                  <a:lnTo>
                    <a:pt x="62" y="103"/>
                  </a:lnTo>
                  <a:lnTo>
                    <a:pt x="19" y="175"/>
                  </a:lnTo>
                  <a:lnTo>
                    <a:pt x="0" y="255"/>
                  </a:lnTo>
                  <a:lnTo>
                    <a:pt x="1" y="255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" name="Freeform 575"/>
            <xdr:cNvSpPr>
              <a:spLocks noChangeAspect="1"/>
            </xdr:cNvSpPr>
          </xdr:nvSpPr>
          <xdr:spPr bwMode="auto">
            <a:xfrm>
              <a:off x="1146" y="2895"/>
              <a:ext cx="100" cy="105"/>
            </a:xfrm>
            <a:custGeom>
              <a:avLst/>
              <a:gdLst>
                <a:gd name="T0" fmla="*/ 0 w 284"/>
                <a:gd name="T1" fmla="*/ 0 h 257"/>
                <a:gd name="T2" fmla="*/ 2 w 284"/>
                <a:gd name="T3" fmla="*/ 13 h 257"/>
                <a:gd name="T4" fmla="*/ 8 w 284"/>
                <a:gd name="T5" fmla="*/ 25 h 257"/>
                <a:gd name="T6" fmla="*/ 15 w 284"/>
                <a:gd name="T7" fmla="*/ 35 h 257"/>
                <a:gd name="T8" fmla="*/ 25 w 284"/>
                <a:gd name="T9" fmla="*/ 41 h 257"/>
                <a:gd name="T10" fmla="*/ 35 w 284"/>
                <a:gd name="T11" fmla="*/ 43 h 257"/>
                <a:gd name="T12" fmla="*/ 35 w 284"/>
                <a:gd name="T13" fmla="*/ 43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0"/>
                  </a:moveTo>
                  <a:lnTo>
                    <a:pt x="20" y="81"/>
                  </a:lnTo>
                  <a:lnTo>
                    <a:pt x="62" y="152"/>
                  </a:lnTo>
                  <a:lnTo>
                    <a:pt x="124" y="209"/>
                  </a:lnTo>
                  <a:lnTo>
                    <a:pt x="200" y="244"/>
                  </a:lnTo>
                  <a:lnTo>
                    <a:pt x="283" y="257"/>
                  </a:lnTo>
                  <a:lnTo>
                    <a:pt x="284" y="25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" name="Freeform 576"/>
            <xdr:cNvSpPr>
              <a:spLocks noChangeAspect="1"/>
            </xdr:cNvSpPr>
          </xdr:nvSpPr>
          <xdr:spPr bwMode="auto">
            <a:xfrm>
              <a:off x="1714" y="3131"/>
              <a:ext cx="28" cy="32"/>
            </a:xfrm>
            <a:custGeom>
              <a:avLst/>
              <a:gdLst>
                <a:gd name="T0" fmla="*/ 10 w 81"/>
                <a:gd name="T1" fmla="*/ 0 h 77"/>
                <a:gd name="T2" fmla="*/ 5 w 81"/>
                <a:gd name="T3" fmla="*/ 2 h 77"/>
                <a:gd name="T4" fmla="*/ 1 w 81"/>
                <a:gd name="T5" fmla="*/ 7 h 77"/>
                <a:gd name="T6" fmla="*/ 0 w 81"/>
                <a:gd name="T7" fmla="*/ 13 h 77"/>
                <a:gd name="T8" fmla="*/ 0 w 81"/>
                <a:gd name="T9" fmla="*/ 13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1" h="77">
                  <a:moveTo>
                    <a:pt x="81" y="0"/>
                  </a:moveTo>
                  <a:lnTo>
                    <a:pt x="42" y="12"/>
                  </a:lnTo>
                  <a:lnTo>
                    <a:pt x="13" y="39"/>
                  </a:lnTo>
                  <a:lnTo>
                    <a:pt x="0" y="77"/>
                  </a:lnTo>
                  <a:lnTo>
                    <a:pt x="1" y="7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" name="Freeform 577"/>
            <xdr:cNvSpPr>
              <a:spLocks noChangeAspect="1"/>
            </xdr:cNvSpPr>
          </xdr:nvSpPr>
          <xdr:spPr bwMode="auto">
            <a:xfrm>
              <a:off x="3366" y="3035"/>
              <a:ext cx="29" cy="35"/>
            </a:xfrm>
            <a:custGeom>
              <a:avLst/>
              <a:gdLst>
                <a:gd name="T0" fmla="*/ 0 w 83"/>
                <a:gd name="T1" fmla="*/ 14 h 85"/>
                <a:gd name="T2" fmla="*/ 5 w 83"/>
                <a:gd name="T3" fmla="*/ 12 h 85"/>
                <a:gd name="T4" fmla="*/ 9 w 83"/>
                <a:gd name="T5" fmla="*/ 7 h 85"/>
                <a:gd name="T6" fmla="*/ 10 w 83"/>
                <a:gd name="T7" fmla="*/ 0 h 85"/>
                <a:gd name="T8" fmla="*/ 10 w 83"/>
                <a:gd name="T9" fmla="*/ 0 h 8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3" h="85">
                  <a:moveTo>
                    <a:pt x="0" y="85"/>
                  </a:moveTo>
                  <a:lnTo>
                    <a:pt x="41" y="72"/>
                  </a:lnTo>
                  <a:lnTo>
                    <a:pt x="71" y="42"/>
                  </a:lnTo>
                  <a:lnTo>
                    <a:pt x="82" y="0"/>
                  </a:lnTo>
                  <a:lnTo>
                    <a:pt x="83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" name="Freeform 578"/>
            <xdr:cNvSpPr>
              <a:spLocks noChangeAspect="1"/>
            </xdr:cNvSpPr>
          </xdr:nvSpPr>
          <xdr:spPr bwMode="auto">
            <a:xfrm>
              <a:off x="1742" y="3070"/>
              <a:ext cx="1624" cy="61"/>
            </a:xfrm>
            <a:custGeom>
              <a:avLst/>
              <a:gdLst>
                <a:gd name="T0" fmla="*/ 580 w 4545"/>
                <a:gd name="T1" fmla="*/ 0 h 156"/>
                <a:gd name="T2" fmla="*/ 0 w 4545"/>
                <a:gd name="T3" fmla="*/ 24 h 156"/>
                <a:gd name="T4" fmla="*/ 0 w 4545"/>
                <a:gd name="T5" fmla="*/ 24 h 15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545" h="156">
                  <a:moveTo>
                    <a:pt x="4545" y="0"/>
                  </a:moveTo>
                  <a:lnTo>
                    <a:pt x="0" y="156"/>
                  </a:lnTo>
                  <a:lnTo>
                    <a:pt x="1" y="156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" name="Freeform 579"/>
            <xdr:cNvSpPr>
              <a:spLocks noChangeAspect="1"/>
            </xdr:cNvSpPr>
          </xdr:nvSpPr>
          <xdr:spPr bwMode="auto">
            <a:xfrm>
              <a:off x="3395" y="3000"/>
              <a:ext cx="31" cy="35"/>
            </a:xfrm>
            <a:custGeom>
              <a:avLst/>
              <a:gdLst>
                <a:gd name="T0" fmla="*/ 11 w 85"/>
                <a:gd name="T1" fmla="*/ 0 h 83"/>
                <a:gd name="T2" fmla="*/ 5 w 85"/>
                <a:gd name="T3" fmla="*/ 2 h 83"/>
                <a:gd name="T4" fmla="*/ 1 w 85"/>
                <a:gd name="T5" fmla="*/ 7 h 83"/>
                <a:gd name="T6" fmla="*/ 0 w 85"/>
                <a:gd name="T7" fmla="*/ 15 h 83"/>
                <a:gd name="T8" fmla="*/ 0 w 85"/>
                <a:gd name="T9" fmla="*/ 15 h 8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5" h="83">
                  <a:moveTo>
                    <a:pt x="85" y="0"/>
                  </a:moveTo>
                  <a:lnTo>
                    <a:pt x="42" y="10"/>
                  </a:lnTo>
                  <a:lnTo>
                    <a:pt x="11" y="41"/>
                  </a:lnTo>
                  <a:lnTo>
                    <a:pt x="0" y="83"/>
                  </a:lnTo>
                  <a:lnTo>
                    <a:pt x="1" y="83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" name="Freeform 580"/>
            <xdr:cNvSpPr>
              <a:spLocks noChangeAspect="1"/>
            </xdr:cNvSpPr>
          </xdr:nvSpPr>
          <xdr:spPr bwMode="auto">
            <a:xfrm>
              <a:off x="3426" y="3000"/>
              <a:ext cx="22" cy="0"/>
            </a:xfrm>
            <a:custGeom>
              <a:avLst/>
              <a:gdLst>
                <a:gd name="T0" fmla="*/ 0 w 62"/>
                <a:gd name="T1" fmla="*/ 8 w 62"/>
                <a:gd name="T2" fmla="*/ 8 w 6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62">
                  <a:moveTo>
                    <a:pt x="0" y="0"/>
                  </a:moveTo>
                  <a:lnTo>
                    <a:pt x="61" y="0"/>
                  </a:lnTo>
                  <a:lnTo>
                    <a:pt x="62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8" name="Freeform 581"/>
            <xdr:cNvSpPr>
              <a:spLocks noChangeAspect="1"/>
            </xdr:cNvSpPr>
          </xdr:nvSpPr>
          <xdr:spPr bwMode="auto">
            <a:xfrm>
              <a:off x="1679" y="3198"/>
              <a:ext cx="32" cy="31"/>
            </a:xfrm>
            <a:custGeom>
              <a:avLst/>
              <a:gdLst>
                <a:gd name="T0" fmla="*/ 0 w 86"/>
                <a:gd name="T1" fmla="*/ 12 h 77"/>
                <a:gd name="T2" fmla="*/ 6 w 86"/>
                <a:gd name="T3" fmla="*/ 11 h 77"/>
                <a:gd name="T4" fmla="*/ 10 w 86"/>
                <a:gd name="T5" fmla="*/ 6 h 77"/>
                <a:gd name="T6" fmla="*/ 12 w 86"/>
                <a:gd name="T7" fmla="*/ 0 h 77"/>
                <a:gd name="T8" fmla="*/ 12 w 86"/>
                <a:gd name="T9" fmla="*/ 0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6" h="77">
                  <a:moveTo>
                    <a:pt x="0" y="77"/>
                  </a:moveTo>
                  <a:lnTo>
                    <a:pt x="40" y="67"/>
                  </a:lnTo>
                  <a:lnTo>
                    <a:pt x="70" y="39"/>
                  </a:lnTo>
                  <a:lnTo>
                    <a:pt x="85" y="0"/>
                  </a:lnTo>
                  <a:lnTo>
                    <a:pt x="86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9" name="Freeform 582"/>
            <xdr:cNvSpPr>
              <a:spLocks noChangeAspect="1"/>
            </xdr:cNvSpPr>
          </xdr:nvSpPr>
          <xdr:spPr bwMode="auto">
            <a:xfrm>
              <a:off x="1300" y="3198"/>
              <a:ext cx="32" cy="31"/>
            </a:xfrm>
            <a:custGeom>
              <a:avLst/>
              <a:gdLst>
                <a:gd name="T0" fmla="*/ 0 w 85"/>
                <a:gd name="T1" fmla="*/ 0 h 77"/>
                <a:gd name="T2" fmla="*/ 2 w 85"/>
                <a:gd name="T3" fmla="*/ 6 h 77"/>
                <a:gd name="T4" fmla="*/ 6 w 85"/>
                <a:gd name="T5" fmla="*/ 11 h 77"/>
                <a:gd name="T6" fmla="*/ 12 w 85"/>
                <a:gd name="T7" fmla="*/ 12 h 77"/>
                <a:gd name="T8" fmla="*/ 12 w 85"/>
                <a:gd name="T9" fmla="*/ 12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5" h="77">
                  <a:moveTo>
                    <a:pt x="0" y="0"/>
                  </a:moveTo>
                  <a:lnTo>
                    <a:pt x="13" y="39"/>
                  </a:lnTo>
                  <a:lnTo>
                    <a:pt x="44" y="67"/>
                  </a:lnTo>
                  <a:lnTo>
                    <a:pt x="84" y="77"/>
                  </a:lnTo>
                  <a:lnTo>
                    <a:pt x="85" y="7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0" name="Freeform 583"/>
            <xdr:cNvSpPr>
              <a:spLocks noChangeAspect="1"/>
            </xdr:cNvSpPr>
          </xdr:nvSpPr>
          <xdr:spPr bwMode="auto">
            <a:xfrm>
              <a:off x="1711" y="3163"/>
              <a:ext cx="3" cy="35"/>
            </a:xfrm>
            <a:custGeom>
              <a:avLst/>
              <a:gdLst>
                <a:gd name="T0" fmla="*/ 1 w 7"/>
                <a:gd name="T1" fmla="*/ 0 h 82"/>
                <a:gd name="T2" fmla="*/ 0 w 7"/>
                <a:gd name="T3" fmla="*/ 15 h 82"/>
                <a:gd name="T4" fmla="*/ 0 w 7"/>
                <a:gd name="T5" fmla="*/ 15 h 8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82">
                  <a:moveTo>
                    <a:pt x="7" y="0"/>
                  </a:moveTo>
                  <a:lnTo>
                    <a:pt x="0" y="82"/>
                  </a:lnTo>
                  <a:lnTo>
                    <a:pt x="1" y="82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1" name="Freeform 584"/>
            <xdr:cNvSpPr>
              <a:spLocks noChangeAspect="1"/>
            </xdr:cNvSpPr>
          </xdr:nvSpPr>
          <xdr:spPr bwMode="auto">
            <a:xfrm>
              <a:off x="3448" y="2895"/>
              <a:ext cx="101" cy="105"/>
            </a:xfrm>
            <a:custGeom>
              <a:avLst/>
              <a:gdLst>
                <a:gd name="T0" fmla="*/ 0 w 284"/>
                <a:gd name="T1" fmla="*/ 43 h 257"/>
                <a:gd name="T2" fmla="*/ 11 w 284"/>
                <a:gd name="T3" fmla="*/ 41 h 257"/>
                <a:gd name="T4" fmla="*/ 20 w 284"/>
                <a:gd name="T5" fmla="*/ 35 h 257"/>
                <a:gd name="T6" fmla="*/ 28 w 284"/>
                <a:gd name="T7" fmla="*/ 25 h 257"/>
                <a:gd name="T8" fmla="*/ 33 w 284"/>
                <a:gd name="T9" fmla="*/ 13 h 257"/>
                <a:gd name="T10" fmla="*/ 36 w 284"/>
                <a:gd name="T11" fmla="*/ 0 h 257"/>
                <a:gd name="T12" fmla="*/ 36 w 284"/>
                <a:gd name="T13" fmla="*/ 0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257"/>
                  </a:moveTo>
                  <a:lnTo>
                    <a:pt x="83" y="244"/>
                  </a:lnTo>
                  <a:lnTo>
                    <a:pt x="159" y="209"/>
                  </a:lnTo>
                  <a:lnTo>
                    <a:pt x="221" y="152"/>
                  </a:lnTo>
                  <a:lnTo>
                    <a:pt x="263" y="81"/>
                  </a:lnTo>
                  <a:lnTo>
                    <a:pt x="283" y="0"/>
                  </a:lnTo>
                  <a:lnTo>
                    <a:pt x="284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2" name="Freeform 585"/>
            <xdr:cNvSpPr>
              <a:spLocks noChangeAspect="1"/>
            </xdr:cNvSpPr>
          </xdr:nvSpPr>
          <xdr:spPr bwMode="auto">
            <a:xfrm>
              <a:off x="1241" y="3001"/>
              <a:ext cx="44" cy="31"/>
            </a:xfrm>
            <a:custGeom>
              <a:avLst/>
              <a:gdLst>
                <a:gd name="T0" fmla="*/ 23 w 84"/>
                <a:gd name="T1" fmla="*/ 13 h 76"/>
                <a:gd name="T2" fmla="*/ 19 w 84"/>
                <a:gd name="T3" fmla="*/ 6 h 76"/>
                <a:gd name="T4" fmla="*/ 11 w 84"/>
                <a:gd name="T5" fmla="*/ 2 h 76"/>
                <a:gd name="T6" fmla="*/ 0 w 84"/>
                <a:gd name="T7" fmla="*/ 0 h 76"/>
                <a:gd name="T8" fmla="*/ 1 w 84"/>
                <a:gd name="T9" fmla="*/ 0 h 7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76">
                  <a:moveTo>
                    <a:pt x="84" y="76"/>
                  </a:moveTo>
                  <a:lnTo>
                    <a:pt x="71" y="37"/>
                  </a:lnTo>
                  <a:lnTo>
                    <a:pt x="40" y="9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3" name="Freeform 586"/>
            <xdr:cNvSpPr>
              <a:spLocks noChangeAspect="1"/>
            </xdr:cNvSpPr>
          </xdr:nvSpPr>
          <xdr:spPr bwMode="auto">
            <a:xfrm>
              <a:off x="1285" y="3032"/>
              <a:ext cx="15" cy="166"/>
            </a:xfrm>
            <a:custGeom>
              <a:avLst/>
              <a:gdLst>
                <a:gd name="T0" fmla="*/ 0 w 38"/>
                <a:gd name="T1" fmla="*/ 0 h 407"/>
                <a:gd name="T2" fmla="*/ 6 w 38"/>
                <a:gd name="T3" fmla="*/ 68 h 407"/>
                <a:gd name="T4" fmla="*/ 6 w 38"/>
                <a:gd name="T5" fmla="*/ 68 h 40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8" h="407">
                  <a:moveTo>
                    <a:pt x="0" y="0"/>
                  </a:moveTo>
                  <a:lnTo>
                    <a:pt x="37" y="407"/>
                  </a:lnTo>
                  <a:lnTo>
                    <a:pt x="38" y="40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4" name="Freeform 587"/>
            <xdr:cNvSpPr>
              <a:spLocks noChangeAspect="1"/>
            </xdr:cNvSpPr>
          </xdr:nvSpPr>
          <xdr:spPr bwMode="auto">
            <a:xfrm>
              <a:off x="1332" y="3229"/>
              <a:ext cx="351" cy="0"/>
            </a:xfrm>
            <a:custGeom>
              <a:avLst/>
              <a:gdLst>
                <a:gd name="T0" fmla="*/ 0 w 980"/>
                <a:gd name="T1" fmla="*/ 126 w 980"/>
                <a:gd name="T2" fmla="*/ 126 w 98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0">
                  <a:moveTo>
                    <a:pt x="0" y="0"/>
                  </a:moveTo>
                  <a:lnTo>
                    <a:pt x="979" y="0"/>
                  </a:lnTo>
                  <a:lnTo>
                    <a:pt x="98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5" name="Freeform 588"/>
            <xdr:cNvSpPr>
              <a:spLocks noChangeAspect="1"/>
            </xdr:cNvSpPr>
          </xdr:nvSpPr>
          <xdr:spPr bwMode="auto">
            <a:xfrm>
              <a:off x="1146" y="2895"/>
              <a:ext cx="100" cy="106"/>
            </a:xfrm>
            <a:custGeom>
              <a:avLst/>
              <a:gdLst>
                <a:gd name="T0" fmla="*/ 0 w 284"/>
                <a:gd name="T1" fmla="*/ 0 h 257"/>
                <a:gd name="T2" fmla="*/ 2 w 284"/>
                <a:gd name="T3" fmla="*/ 14 h 257"/>
                <a:gd name="T4" fmla="*/ 8 w 284"/>
                <a:gd name="T5" fmla="*/ 26 h 257"/>
                <a:gd name="T6" fmla="*/ 15 w 284"/>
                <a:gd name="T7" fmla="*/ 35 h 257"/>
                <a:gd name="T8" fmla="*/ 25 w 284"/>
                <a:gd name="T9" fmla="*/ 42 h 257"/>
                <a:gd name="T10" fmla="*/ 35 w 284"/>
                <a:gd name="T11" fmla="*/ 44 h 257"/>
                <a:gd name="T12" fmla="*/ 35 w 284"/>
                <a:gd name="T13" fmla="*/ 44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0"/>
                  </a:moveTo>
                  <a:lnTo>
                    <a:pt x="20" y="81"/>
                  </a:lnTo>
                  <a:lnTo>
                    <a:pt x="62" y="152"/>
                  </a:lnTo>
                  <a:lnTo>
                    <a:pt x="124" y="209"/>
                  </a:lnTo>
                  <a:lnTo>
                    <a:pt x="200" y="244"/>
                  </a:lnTo>
                  <a:lnTo>
                    <a:pt x="283" y="257"/>
                  </a:lnTo>
                  <a:lnTo>
                    <a:pt x="284" y="25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136" name="Group 589"/>
            <xdr:cNvGrpSpPr>
              <a:grpSpLocks noChangeAspect="1"/>
            </xdr:cNvGrpSpPr>
          </xdr:nvGrpSpPr>
          <xdr:grpSpPr bwMode="auto">
            <a:xfrm>
              <a:off x="1080" y="1733"/>
              <a:ext cx="66" cy="1162"/>
              <a:chOff x="1529" y="1501"/>
              <a:chExt cx="70" cy="1239"/>
            </a:xfrm>
          </xdr:grpSpPr>
          <xdr:sp macro="" textlink="">
            <xdr:nvSpPr>
              <xdr:cNvPr id="233" name="Freeform 590"/>
              <xdr:cNvSpPr>
                <a:spLocks noChangeAspect="1"/>
              </xdr:cNvSpPr>
            </xdr:nvSpPr>
            <xdr:spPr bwMode="auto">
              <a:xfrm>
                <a:off x="1541" y="1762"/>
                <a:ext cx="3" cy="4"/>
              </a:xfrm>
              <a:custGeom>
                <a:avLst/>
                <a:gdLst>
                  <a:gd name="T0" fmla="*/ 0 w 12"/>
                  <a:gd name="T1" fmla="*/ 1 h 12"/>
                  <a:gd name="T2" fmla="*/ 1 w 12"/>
                  <a:gd name="T3" fmla="*/ 1 h 12"/>
                  <a:gd name="T4" fmla="*/ 1 w 12"/>
                  <a:gd name="T5" fmla="*/ 0 h 12"/>
                  <a:gd name="T6" fmla="*/ 1 w 12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2" h="12">
                    <a:moveTo>
                      <a:pt x="0" y="12"/>
                    </a:moveTo>
                    <a:lnTo>
                      <a:pt x="7" y="8"/>
                    </a:lnTo>
                    <a:lnTo>
                      <a:pt x="11" y="0"/>
                    </a:lnTo>
                    <a:lnTo>
                      <a:pt x="12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4" name="Freeform 591"/>
              <xdr:cNvSpPr>
                <a:spLocks noChangeAspect="1"/>
              </xdr:cNvSpPr>
            </xdr:nvSpPr>
            <xdr:spPr bwMode="auto">
              <a:xfrm>
                <a:off x="1535" y="1766"/>
                <a:ext cx="6" cy="6"/>
              </a:xfrm>
              <a:custGeom>
                <a:avLst/>
                <a:gdLst>
                  <a:gd name="T0" fmla="*/ 3 w 11"/>
                  <a:gd name="T1" fmla="*/ 0 h 13"/>
                  <a:gd name="T2" fmla="*/ 1 w 11"/>
                  <a:gd name="T3" fmla="*/ 1 h 13"/>
                  <a:gd name="T4" fmla="*/ 0 w 11"/>
                  <a:gd name="T5" fmla="*/ 3 h 13"/>
                  <a:gd name="T6" fmla="*/ 1 w 11"/>
                  <a:gd name="T7" fmla="*/ 3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1" h="13">
                    <a:moveTo>
                      <a:pt x="11" y="0"/>
                    </a:moveTo>
                    <a:lnTo>
                      <a:pt x="3" y="5"/>
                    </a:lnTo>
                    <a:lnTo>
                      <a:pt x="0" y="13"/>
                    </a:lnTo>
                    <a:lnTo>
                      <a:pt x="1" y="13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5" name="Freeform 592"/>
              <xdr:cNvSpPr>
                <a:spLocks noChangeAspect="1"/>
              </xdr:cNvSpPr>
            </xdr:nvSpPr>
            <xdr:spPr bwMode="auto">
              <a:xfrm>
                <a:off x="1529" y="1772"/>
                <a:ext cx="6" cy="79"/>
              </a:xfrm>
              <a:custGeom>
                <a:avLst/>
                <a:gdLst>
                  <a:gd name="T0" fmla="*/ 0 w 17"/>
                  <a:gd name="T1" fmla="*/ 34 h 183"/>
                  <a:gd name="T2" fmla="*/ 2 w 17"/>
                  <a:gd name="T3" fmla="*/ 0 h 183"/>
                  <a:gd name="T4" fmla="*/ 2 w 17"/>
                  <a:gd name="T5" fmla="*/ 0 h 18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7" h="183">
                    <a:moveTo>
                      <a:pt x="0" y="183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6" name="Freeform 593"/>
              <xdr:cNvSpPr>
                <a:spLocks noChangeAspect="1"/>
              </xdr:cNvSpPr>
            </xdr:nvSpPr>
            <xdr:spPr bwMode="auto">
              <a:xfrm>
                <a:off x="1544" y="1501"/>
                <a:ext cx="22" cy="261"/>
              </a:xfrm>
              <a:custGeom>
                <a:avLst/>
                <a:gdLst>
                  <a:gd name="T0" fmla="*/ 0 w 54"/>
                  <a:gd name="T1" fmla="*/ 113 h 602"/>
                  <a:gd name="T2" fmla="*/ 9 w 54"/>
                  <a:gd name="T3" fmla="*/ 0 h 602"/>
                  <a:gd name="T4" fmla="*/ 9 w 54"/>
                  <a:gd name="T5" fmla="*/ 0 h 60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4" h="602">
                    <a:moveTo>
                      <a:pt x="0" y="602"/>
                    </a:moveTo>
                    <a:lnTo>
                      <a:pt x="53" y="0"/>
                    </a:lnTo>
                    <a:lnTo>
                      <a:pt x="54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7" name="Freeform 594"/>
              <xdr:cNvSpPr>
                <a:spLocks noChangeAspect="1"/>
              </xdr:cNvSpPr>
            </xdr:nvSpPr>
            <xdr:spPr bwMode="auto">
              <a:xfrm>
                <a:off x="1529" y="1851"/>
                <a:ext cx="70" cy="889"/>
              </a:xfrm>
              <a:custGeom>
                <a:avLst/>
                <a:gdLst>
                  <a:gd name="T0" fmla="*/ 0 w 182"/>
                  <a:gd name="T1" fmla="*/ 0 h 2044"/>
                  <a:gd name="T2" fmla="*/ 27 w 182"/>
                  <a:gd name="T3" fmla="*/ 387 h 2044"/>
                  <a:gd name="T4" fmla="*/ 27 w 182"/>
                  <a:gd name="T5" fmla="*/ 387 h 20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82" h="2044">
                    <a:moveTo>
                      <a:pt x="0" y="0"/>
                    </a:moveTo>
                    <a:lnTo>
                      <a:pt x="180" y="2044"/>
                    </a:lnTo>
                    <a:lnTo>
                      <a:pt x="182" y="2044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137" name="Group 595"/>
            <xdr:cNvGrpSpPr>
              <a:grpSpLocks noChangeAspect="1"/>
            </xdr:cNvGrpSpPr>
          </xdr:nvGrpSpPr>
          <xdr:grpSpPr bwMode="auto">
            <a:xfrm>
              <a:off x="1222" y="1613"/>
              <a:ext cx="89" cy="33"/>
              <a:chOff x="1681" y="1373"/>
              <a:chExt cx="95" cy="36"/>
            </a:xfrm>
          </xdr:grpSpPr>
          <xdr:sp macro="" textlink="">
            <xdr:nvSpPr>
              <xdr:cNvPr id="215" name="Freeform 596"/>
              <xdr:cNvSpPr>
                <a:spLocks noChangeAspect="1"/>
              </xdr:cNvSpPr>
            </xdr:nvSpPr>
            <xdr:spPr bwMode="auto">
              <a:xfrm>
                <a:off x="1681" y="1388"/>
                <a:ext cx="94" cy="0"/>
              </a:xfrm>
              <a:custGeom>
                <a:avLst/>
                <a:gdLst>
                  <a:gd name="T0" fmla="*/ 0 w 247"/>
                  <a:gd name="T1" fmla="*/ 36 w 247"/>
                  <a:gd name="T2" fmla="*/ 36 w 24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7">
                    <a:moveTo>
                      <a:pt x="0" y="0"/>
                    </a:moveTo>
                    <a:lnTo>
                      <a:pt x="246" y="0"/>
                    </a:lnTo>
                    <a:lnTo>
                      <a:pt x="2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6" name="Freeform 597"/>
              <xdr:cNvSpPr>
                <a:spLocks noChangeAspect="1"/>
              </xdr:cNvSpPr>
            </xdr:nvSpPr>
            <xdr:spPr bwMode="auto">
              <a:xfrm>
                <a:off x="1754" y="1373"/>
                <a:ext cx="0" cy="15"/>
              </a:xfrm>
              <a:custGeom>
                <a:avLst/>
                <a:gdLst>
                  <a:gd name="T0" fmla="*/ 0 w 1"/>
                  <a:gd name="T1" fmla="*/ 0 h 33"/>
                  <a:gd name="T2" fmla="*/ 0 w 1"/>
                  <a:gd name="T3" fmla="*/ 7 h 33"/>
                  <a:gd name="T4" fmla="*/ 1 w 1"/>
                  <a:gd name="T5" fmla="*/ 7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0"/>
                    </a:moveTo>
                    <a:lnTo>
                      <a:pt x="0" y="33"/>
                    </a:lnTo>
                    <a:lnTo>
                      <a:pt x="1" y="3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7" name="Freeform 598"/>
              <xdr:cNvSpPr>
                <a:spLocks noChangeAspect="1"/>
              </xdr:cNvSpPr>
            </xdr:nvSpPr>
            <xdr:spPr bwMode="auto">
              <a:xfrm>
                <a:off x="1775" y="1373"/>
                <a:ext cx="0" cy="15"/>
              </a:xfrm>
              <a:custGeom>
                <a:avLst/>
                <a:gdLst>
                  <a:gd name="T0" fmla="*/ 0 w 1"/>
                  <a:gd name="T1" fmla="*/ 7 h 33"/>
                  <a:gd name="T2" fmla="*/ 0 w 1"/>
                  <a:gd name="T3" fmla="*/ 0 h 33"/>
                  <a:gd name="T4" fmla="*/ 1 w 1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3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8" name="Freeform 599"/>
              <xdr:cNvSpPr>
                <a:spLocks noChangeAspect="1"/>
              </xdr:cNvSpPr>
            </xdr:nvSpPr>
            <xdr:spPr bwMode="auto">
              <a:xfrm>
                <a:off x="1681" y="1373"/>
                <a:ext cx="3" cy="15"/>
              </a:xfrm>
              <a:custGeom>
                <a:avLst/>
                <a:gdLst>
                  <a:gd name="T0" fmla="*/ 0 w 1"/>
                  <a:gd name="T1" fmla="*/ 7 h 33"/>
                  <a:gd name="T2" fmla="*/ 0 w 1"/>
                  <a:gd name="T3" fmla="*/ 0 h 33"/>
                  <a:gd name="T4" fmla="*/ 9 w 1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3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9" name="Freeform 600"/>
              <xdr:cNvSpPr>
                <a:spLocks noChangeAspect="1"/>
              </xdr:cNvSpPr>
            </xdr:nvSpPr>
            <xdr:spPr bwMode="auto">
              <a:xfrm>
                <a:off x="1702" y="1373"/>
                <a:ext cx="0" cy="15"/>
              </a:xfrm>
              <a:custGeom>
                <a:avLst/>
                <a:gdLst>
                  <a:gd name="T0" fmla="*/ 0 w 2"/>
                  <a:gd name="T1" fmla="*/ 0 h 33"/>
                  <a:gd name="T2" fmla="*/ 0 w 2"/>
                  <a:gd name="T3" fmla="*/ 7 h 33"/>
                  <a:gd name="T4" fmla="*/ 1 w 2"/>
                  <a:gd name="T5" fmla="*/ 7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33">
                    <a:moveTo>
                      <a:pt x="0" y="0"/>
                    </a:moveTo>
                    <a:lnTo>
                      <a:pt x="0" y="33"/>
                    </a:lnTo>
                    <a:lnTo>
                      <a:pt x="2" y="3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0" name="Freeform 601"/>
              <xdr:cNvSpPr>
                <a:spLocks noChangeAspect="1"/>
              </xdr:cNvSpPr>
            </xdr:nvSpPr>
            <xdr:spPr bwMode="auto">
              <a:xfrm>
                <a:off x="1681" y="1373"/>
                <a:ext cx="21" cy="0"/>
              </a:xfrm>
              <a:custGeom>
                <a:avLst/>
                <a:gdLst>
                  <a:gd name="T0" fmla="*/ 0 w 53"/>
                  <a:gd name="T1" fmla="*/ 8 w 53"/>
                  <a:gd name="T2" fmla="*/ 8 w 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3">
                    <a:moveTo>
                      <a:pt x="0" y="0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1" name="Freeform 602"/>
              <xdr:cNvSpPr>
                <a:spLocks noChangeAspect="1"/>
              </xdr:cNvSpPr>
            </xdr:nvSpPr>
            <xdr:spPr bwMode="auto">
              <a:xfrm>
                <a:off x="1757" y="1373"/>
                <a:ext cx="18" cy="0"/>
              </a:xfrm>
              <a:custGeom>
                <a:avLst/>
                <a:gdLst>
                  <a:gd name="T0" fmla="*/ 0 w 53"/>
                  <a:gd name="T1" fmla="*/ 6 w 53"/>
                  <a:gd name="T2" fmla="*/ 6 w 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3">
                    <a:moveTo>
                      <a:pt x="0" y="0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2" name="Freeform 603"/>
              <xdr:cNvSpPr>
                <a:spLocks noChangeAspect="1"/>
              </xdr:cNvSpPr>
            </xdr:nvSpPr>
            <xdr:spPr bwMode="auto">
              <a:xfrm>
                <a:off x="1702" y="1373"/>
                <a:ext cx="55" cy="0"/>
              </a:xfrm>
              <a:custGeom>
                <a:avLst/>
                <a:gdLst>
                  <a:gd name="T0" fmla="*/ 0 w 143"/>
                  <a:gd name="T1" fmla="*/ 21 w 143"/>
                  <a:gd name="T2" fmla="*/ 21 w 14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43">
                    <a:moveTo>
                      <a:pt x="0" y="0"/>
                    </a:moveTo>
                    <a:lnTo>
                      <a:pt x="142" y="0"/>
                    </a:lnTo>
                    <a:lnTo>
                      <a:pt x="1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3" name="Freeform 604"/>
              <xdr:cNvSpPr>
                <a:spLocks noChangeAspect="1"/>
              </xdr:cNvSpPr>
            </xdr:nvSpPr>
            <xdr:spPr bwMode="auto">
              <a:xfrm>
                <a:off x="1776" y="1388"/>
                <a:ext cx="0" cy="15"/>
              </a:xfrm>
              <a:custGeom>
                <a:avLst/>
                <a:gdLst>
                  <a:gd name="T0" fmla="*/ 0 w 1"/>
                  <a:gd name="T1" fmla="*/ 0 h 32"/>
                  <a:gd name="T2" fmla="*/ 0 w 1"/>
                  <a:gd name="T3" fmla="*/ 7 h 32"/>
                  <a:gd name="T4" fmla="*/ 1 w 1"/>
                  <a:gd name="T5" fmla="*/ 7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0"/>
                    </a:moveTo>
                    <a:lnTo>
                      <a:pt x="0" y="32"/>
                    </a:lnTo>
                    <a:lnTo>
                      <a:pt x="1" y="3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4" name="Freeform 605"/>
              <xdr:cNvSpPr>
                <a:spLocks noChangeAspect="1"/>
              </xdr:cNvSpPr>
            </xdr:nvSpPr>
            <xdr:spPr bwMode="auto">
              <a:xfrm>
                <a:off x="1754" y="1388"/>
                <a:ext cx="0" cy="15"/>
              </a:xfrm>
              <a:custGeom>
                <a:avLst/>
                <a:gdLst>
                  <a:gd name="T0" fmla="*/ 0 w 1"/>
                  <a:gd name="T1" fmla="*/ 7 h 32"/>
                  <a:gd name="T2" fmla="*/ 0 w 1"/>
                  <a:gd name="T3" fmla="*/ 0 h 32"/>
                  <a:gd name="T4" fmla="*/ 1 w 1"/>
                  <a:gd name="T5" fmla="*/ 0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3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5" name="Freeform 606"/>
              <xdr:cNvSpPr>
                <a:spLocks noChangeAspect="1"/>
              </xdr:cNvSpPr>
            </xdr:nvSpPr>
            <xdr:spPr bwMode="auto">
              <a:xfrm>
                <a:off x="1757" y="1403"/>
                <a:ext cx="3" cy="6"/>
              </a:xfrm>
              <a:custGeom>
                <a:avLst/>
                <a:gdLst>
                  <a:gd name="T0" fmla="*/ 0 w 1"/>
                  <a:gd name="T1" fmla="*/ 0 h 19"/>
                  <a:gd name="T2" fmla="*/ 0 w 1"/>
                  <a:gd name="T3" fmla="*/ 2 h 19"/>
                  <a:gd name="T4" fmla="*/ 9 w 1"/>
                  <a:gd name="T5" fmla="*/ 2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">
                    <a:moveTo>
                      <a:pt x="0" y="0"/>
                    </a:moveTo>
                    <a:lnTo>
                      <a:pt x="0" y="19"/>
                    </a:lnTo>
                    <a:lnTo>
                      <a:pt x="1" y="19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6" name="Freeform 607"/>
              <xdr:cNvSpPr>
                <a:spLocks noChangeAspect="1"/>
              </xdr:cNvSpPr>
            </xdr:nvSpPr>
            <xdr:spPr bwMode="auto">
              <a:xfrm>
                <a:off x="1681" y="1388"/>
                <a:ext cx="3" cy="15"/>
              </a:xfrm>
              <a:custGeom>
                <a:avLst/>
                <a:gdLst>
                  <a:gd name="T0" fmla="*/ 0 w 1"/>
                  <a:gd name="T1" fmla="*/ 0 h 32"/>
                  <a:gd name="T2" fmla="*/ 0 w 1"/>
                  <a:gd name="T3" fmla="*/ 7 h 32"/>
                  <a:gd name="T4" fmla="*/ 9 w 1"/>
                  <a:gd name="T5" fmla="*/ 7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0"/>
                    </a:moveTo>
                    <a:lnTo>
                      <a:pt x="0" y="32"/>
                    </a:lnTo>
                    <a:lnTo>
                      <a:pt x="1" y="3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7" name="Freeform 608"/>
              <xdr:cNvSpPr>
                <a:spLocks noChangeAspect="1"/>
              </xdr:cNvSpPr>
            </xdr:nvSpPr>
            <xdr:spPr bwMode="auto">
              <a:xfrm>
                <a:off x="1703" y="1388"/>
                <a:ext cx="0" cy="15"/>
              </a:xfrm>
              <a:custGeom>
                <a:avLst/>
                <a:gdLst>
                  <a:gd name="T0" fmla="*/ 0 w 2"/>
                  <a:gd name="T1" fmla="*/ 7 h 32"/>
                  <a:gd name="T2" fmla="*/ 0 w 2"/>
                  <a:gd name="T3" fmla="*/ 0 h 32"/>
                  <a:gd name="T4" fmla="*/ 1 w 2"/>
                  <a:gd name="T5" fmla="*/ 0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32">
                    <a:moveTo>
                      <a:pt x="0" y="32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8" name="Freeform 609"/>
              <xdr:cNvSpPr>
                <a:spLocks noChangeAspect="1"/>
              </xdr:cNvSpPr>
            </xdr:nvSpPr>
            <xdr:spPr bwMode="auto">
              <a:xfrm>
                <a:off x="1700" y="1403"/>
                <a:ext cx="0" cy="6"/>
              </a:xfrm>
              <a:custGeom>
                <a:avLst/>
                <a:gdLst>
                  <a:gd name="T0" fmla="*/ 0 w 1"/>
                  <a:gd name="T1" fmla="*/ 0 h 19"/>
                  <a:gd name="T2" fmla="*/ 0 w 1"/>
                  <a:gd name="T3" fmla="*/ 2 h 19"/>
                  <a:gd name="T4" fmla="*/ 1 w 1"/>
                  <a:gd name="T5" fmla="*/ 2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">
                    <a:moveTo>
                      <a:pt x="0" y="0"/>
                    </a:moveTo>
                    <a:lnTo>
                      <a:pt x="0" y="19"/>
                    </a:lnTo>
                    <a:lnTo>
                      <a:pt x="1" y="19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9" name="Freeform 610"/>
              <xdr:cNvSpPr>
                <a:spLocks noChangeAspect="1"/>
              </xdr:cNvSpPr>
            </xdr:nvSpPr>
            <xdr:spPr bwMode="auto">
              <a:xfrm>
                <a:off x="1681" y="1403"/>
                <a:ext cx="95" cy="0"/>
              </a:xfrm>
              <a:custGeom>
                <a:avLst/>
                <a:gdLst>
                  <a:gd name="T0" fmla="*/ 0 w 247"/>
                  <a:gd name="T1" fmla="*/ 37 w 247"/>
                  <a:gd name="T2" fmla="*/ 37 w 24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7">
                    <a:moveTo>
                      <a:pt x="0" y="0"/>
                    </a:moveTo>
                    <a:lnTo>
                      <a:pt x="246" y="0"/>
                    </a:lnTo>
                    <a:lnTo>
                      <a:pt x="2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0" name="Freeform 611"/>
              <xdr:cNvSpPr>
                <a:spLocks noChangeAspect="1"/>
              </xdr:cNvSpPr>
            </xdr:nvSpPr>
            <xdr:spPr bwMode="auto">
              <a:xfrm>
                <a:off x="1700" y="1409"/>
                <a:ext cx="3" cy="0"/>
              </a:xfrm>
              <a:custGeom>
                <a:avLst/>
                <a:gdLst>
                  <a:gd name="T0" fmla="*/ 0 w 8"/>
                  <a:gd name="T1" fmla="*/ 1 w 8"/>
                  <a:gd name="T2" fmla="*/ 1 w 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">
                    <a:moveTo>
                      <a:pt x="0" y="0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1" name="Freeform 612"/>
              <xdr:cNvSpPr>
                <a:spLocks noChangeAspect="1"/>
              </xdr:cNvSpPr>
            </xdr:nvSpPr>
            <xdr:spPr bwMode="auto">
              <a:xfrm>
                <a:off x="1757" y="1409"/>
                <a:ext cx="3" cy="0"/>
              </a:xfrm>
              <a:custGeom>
                <a:avLst/>
                <a:gdLst>
                  <a:gd name="T0" fmla="*/ 0 w 8"/>
                  <a:gd name="T1" fmla="*/ 1 w 8"/>
                  <a:gd name="T2" fmla="*/ 1 w 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">
                    <a:moveTo>
                      <a:pt x="0" y="0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2" name="Freeform 613"/>
              <xdr:cNvSpPr>
                <a:spLocks noChangeAspect="1"/>
              </xdr:cNvSpPr>
            </xdr:nvSpPr>
            <xdr:spPr bwMode="auto">
              <a:xfrm>
                <a:off x="1703" y="1409"/>
                <a:ext cx="54" cy="0"/>
              </a:xfrm>
              <a:custGeom>
                <a:avLst/>
                <a:gdLst>
                  <a:gd name="T0" fmla="*/ 0 w 143"/>
                  <a:gd name="T1" fmla="*/ 20 w 143"/>
                  <a:gd name="T2" fmla="*/ 20 w 14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43">
                    <a:moveTo>
                      <a:pt x="0" y="0"/>
                    </a:moveTo>
                    <a:lnTo>
                      <a:pt x="142" y="0"/>
                    </a:lnTo>
                    <a:lnTo>
                      <a:pt x="1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138" name="Freeform 614"/>
            <xdr:cNvSpPr>
              <a:spLocks noChangeAspect="1"/>
            </xdr:cNvSpPr>
          </xdr:nvSpPr>
          <xdr:spPr bwMode="auto">
            <a:xfrm>
              <a:off x="2600" y="1627"/>
              <a:ext cx="874" cy="0"/>
            </a:xfrm>
            <a:custGeom>
              <a:avLst/>
              <a:gdLst>
                <a:gd name="T0" fmla="*/ 0 w 2273"/>
                <a:gd name="T1" fmla="*/ 336 w 2273"/>
                <a:gd name="T2" fmla="*/ 336 w 2273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273">
                  <a:moveTo>
                    <a:pt x="0" y="0"/>
                  </a:moveTo>
                  <a:lnTo>
                    <a:pt x="2272" y="0"/>
                  </a:lnTo>
                  <a:lnTo>
                    <a:pt x="2273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139" name="Group 615"/>
            <xdr:cNvGrpSpPr>
              <a:grpSpLocks noChangeAspect="1"/>
            </xdr:cNvGrpSpPr>
          </xdr:nvGrpSpPr>
          <xdr:grpSpPr bwMode="auto">
            <a:xfrm>
              <a:off x="1213" y="3281"/>
              <a:ext cx="87" cy="217"/>
              <a:chOff x="1358" y="2299"/>
              <a:chExt cx="42" cy="105"/>
            </a:xfrm>
          </xdr:grpSpPr>
          <xdr:grpSp>
            <xdr:nvGrpSpPr>
              <xdr:cNvPr id="148" name="Group 616"/>
              <xdr:cNvGrpSpPr>
                <a:grpSpLocks noChangeAspect="1"/>
              </xdr:cNvGrpSpPr>
            </xdr:nvGrpSpPr>
            <xdr:grpSpPr bwMode="auto">
              <a:xfrm>
                <a:off x="1358" y="2362"/>
                <a:ext cx="41" cy="42"/>
                <a:chOff x="1358" y="2465"/>
                <a:chExt cx="41" cy="42"/>
              </a:xfrm>
            </xdr:grpSpPr>
            <xdr:sp macro="" textlink="">
              <xdr:nvSpPr>
                <xdr:cNvPr id="194" name="Freeform 617"/>
                <xdr:cNvSpPr>
                  <a:spLocks noChangeAspect="1"/>
                </xdr:cNvSpPr>
              </xdr:nvSpPr>
              <xdr:spPr bwMode="auto">
                <a:xfrm>
                  <a:off x="1360" y="2465"/>
                  <a:ext cx="37" cy="0"/>
                </a:xfrm>
                <a:custGeom>
                  <a:avLst/>
                  <a:gdLst>
                    <a:gd name="T0" fmla="*/ 5 w 300"/>
                    <a:gd name="T1" fmla="*/ 0 w 300"/>
                    <a:gd name="T2" fmla="*/ 0 w 300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300">
                      <a:moveTo>
                        <a:pt x="300" y="0"/>
                      </a:move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5" name="Freeform 618"/>
                <xdr:cNvSpPr>
                  <a:spLocks noChangeAspect="1"/>
                </xdr:cNvSpPr>
              </xdr:nvSpPr>
              <xdr:spPr bwMode="auto">
                <a:xfrm>
                  <a:off x="1367" y="2507"/>
                  <a:ext cx="23" cy="0"/>
                </a:xfrm>
                <a:custGeom>
                  <a:avLst/>
                  <a:gdLst>
                    <a:gd name="T0" fmla="*/ 3 w 181"/>
                    <a:gd name="T1" fmla="*/ 0 w 181"/>
                    <a:gd name="T2" fmla="*/ 0 w 181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181">
                      <a:moveTo>
                        <a:pt x="181" y="0"/>
                      </a:moveTo>
                      <a:lnTo>
                        <a:pt x="0" y="0"/>
                      </a:lnTo>
                      <a:lnTo>
                        <a:pt x="2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6" name="Freeform 619"/>
                <xdr:cNvSpPr>
                  <a:spLocks noChangeAspect="1"/>
                </xdr:cNvSpPr>
              </xdr:nvSpPr>
              <xdr:spPr bwMode="auto">
                <a:xfrm>
                  <a:off x="1390" y="2502"/>
                  <a:ext cx="5" cy="5"/>
                </a:xfrm>
                <a:custGeom>
                  <a:avLst/>
                  <a:gdLst>
                    <a:gd name="T0" fmla="*/ 0 w 39"/>
                    <a:gd name="T1" fmla="*/ 1 h 37"/>
                    <a:gd name="T2" fmla="*/ 0 w 39"/>
                    <a:gd name="T3" fmla="*/ 1 h 37"/>
                    <a:gd name="T4" fmla="*/ 1 w 39"/>
                    <a:gd name="T5" fmla="*/ 0 h 37"/>
                    <a:gd name="T6" fmla="*/ 1 w 39"/>
                    <a:gd name="T7" fmla="*/ 0 h 37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39" h="37">
                      <a:moveTo>
                        <a:pt x="0" y="37"/>
                      </a:moveTo>
                      <a:lnTo>
                        <a:pt x="27" y="27"/>
                      </a:lnTo>
                      <a:lnTo>
                        <a:pt x="38" y="0"/>
                      </a:lnTo>
                      <a:lnTo>
                        <a:pt x="39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7" name="Freeform 620"/>
                <xdr:cNvSpPr>
                  <a:spLocks noChangeAspect="1"/>
                </xdr:cNvSpPr>
              </xdr:nvSpPr>
              <xdr:spPr bwMode="auto">
                <a:xfrm>
                  <a:off x="1395" y="2477"/>
                  <a:ext cx="0" cy="25"/>
                </a:xfrm>
                <a:custGeom>
                  <a:avLst/>
                  <a:gdLst>
                    <a:gd name="T0" fmla="*/ 0 w 1"/>
                    <a:gd name="T1" fmla="*/ 0 h 172"/>
                    <a:gd name="T2" fmla="*/ 0 w 1"/>
                    <a:gd name="T3" fmla="*/ 4 h 172"/>
                    <a:gd name="T4" fmla="*/ 1 w 1"/>
                    <a:gd name="T5" fmla="*/ 4 h 1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172">
                      <a:moveTo>
                        <a:pt x="0" y="0"/>
                      </a:moveTo>
                      <a:lnTo>
                        <a:pt x="0" y="172"/>
                      </a:lnTo>
                      <a:lnTo>
                        <a:pt x="1" y="1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" name="Freeform 621"/>
                <xdr:cNvSpPr>
                  <a:spLocks noChangeAspect="1"/>
                </xdr:cNvSpPr>
              </xdr:nvSpPr>
              <xdr:spPr bwMode="auto">
                <a:xfrm>
                  <a:off x="1399" y="2467"/>
                  <a:ext cx="0" cy="6"/>
                </a:xfrm>
                <a:custGeom>
                  <a:avLst/>
                  <a:gdLst>
                    <a:gd name="T0" fmla="*/ 0 w 1"/>
                    <a:gd name="T1" fmla="*/ 0 h 48"/>
                    <a:gd name="T2" fmla="*/ 0 w 1"/>
                    <a:gd name="T3" fmla="*/ 1 h 48"/>
                    <a:gd name="T4" fmla="*/ 1 w 1"/>
                    <a:gd name="T5" fmla="*/ 1 h 48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48">
                      <a:moveTo>
                        <a:pt x="0" y="0"/>
                      </a:moveTo>
                      <a:lnTo>
                        <a:pt x="0" y="48"/>
                      </a:lnTo>
                      <a:lnTo>
                        <a:pt x="1" y="48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" name="Freeform 622"/>
                <xdr:cNvSpPr>
                  <a:spLocks noChangeAspect="1"/>
                </xdr:cNvSpPr>
              </xdr:nvSpPr>
              <xdr:spPr bwMode="auto">
                <a:xfrm>
                  <a:off x="1395" y="2475"/>
                  <a:ext cx="1" cy="2"/>
                </a:xfrm>
                <a:custGeom>
                  <a:avLst/>
                  <a:gdLst>
                    <a:gd name="T0" fmla="*/ 0 w 13"/>
                    <a:gd name="T1" fmla="*/ 0 h 13"/>
                    <a:gd name="T2" fmla="*/ 0 w 13"/>
                    <a:gd name="T3" fmla="*/ 0 h 13"/>
                    <a:gd name="T4" fmla="*/ 0 w 13"/>
                    <a:gd name="T5" fmla="*/ 0 h 13"/>
                    <a:gd name="T6" fmla="*/ 0 w 13"/>
                    <a:gd name="T7" fmla="*/ 0 h 1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3">
                      <a:moveTo>
                        <a:pt x="13" y="0"/>
                      </a:moveTo>
                      <a:lnTo>
                        <a:pt x="4" y="4"/>
                      </a:lnTo>
                      <a:lnTo>
                        <a:pt x="0" y="13"/>
                      </a:lnTo>
                      <a:lnTo>
                        <a:pt x="1" y="13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0" name="Freeform 623"/>
                <xdr:cNvSpPr>
                  <a:spLocks noChangeAspect="1"/>
                </xdr:cNvSpPr>
              </xdr:nvSpPr>
              <xdr:spPr bwMode="auto">
                <a:xfrm>
                  <a:off x="1397" y="2473"/>
                  <a:ext cx="2" cy="2"/>
                </a:xfrm>
                <a:custGeom>
                  <a:avLst/>
                  <a:gdLst>
                    <a:gd name="T0" fmla="*/ 0 w 13"/>
                    <a:gd name="T1" fmla="*/ 0 h 12"/>
                    <a:gd name="T2" fmla="*/ 0 w 13"/>
                    <a:gd name="T3" fmla="*/ 0 h 12"/>
                    <a:gd name="T4" fmla="*/ 0 w 13"/>
                    <a:gd name="T5" fmla="*/ 0 h 12"/>
                    <a:gd name="T6" fmla="*/ 0 w 13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2">
                      <a:moveTo>
                        <a:pt x="0" y="12"/>
                      </a:moveTo>
                      <a:lnTo>
                        <a:pt x="8" y="8"/>
                      </a:lnTo>
                      <a:lnTo>
                        <a:pt x="12" y="0"/>
                      </a:lnTo>
                      <a:lnTo>
                        <a:pt x="13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1" name="Freeform 624"/>
                <xdr:cNvSpPr>
                  <a:spLocks noChangeAspect="1"/>
                </xdr:cNvSpPr>
              </xdr:nvSpPr>
              <xdr:spPr bwMode="auto">
                <a:xfrm>
                  <a:off x="1358" y="2473"/>
                  <a:ext cx="2" cy="2"/>
                </a:xfrm>
                <a:custGeom>
                  <a:avLst/>
                  <a:gdLst>
                    <a:gd name="T0" fmla="*/ 0 w 13"/>
                    <a:gd name="T1" fmla="*/ 0 h 12"/>
                    <a:gd name="T2" fmla="*/ 0 w 13"/>
                    <a:gd name="T3" fmla="*/ 0 h 12"/>
                    <a:gd name="T4" fmla="*/ 0 w 13"/>
                    <a:gd name="T5" fmla="*/ 0 h 12"/>
                    <a:gd name="T6" fmla="*/ 0 w 13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2">
                      <a:moveTo>
                        <a:pt x="0" y="0"/>
                      </a:moveTo>
                      <a:lnTo>
                        <a:pt x="3" y="8"/>
                      </a:lnTo>
                      <a:lnTo>
                        <a:pt x="12" y="12"/>
                      </a:lnTo>
                      <a:lnTo>
                        <a:pt x="13" y="1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2" name="Freeform 625"/>
                <xdr:cNvSpPr>
                  <a:spLocks noChangeAspect="1"/>
                </xdr:cNvSpPr>
              </xdr:nvSpPr>
              <xdr:spPr bwMode="auto">
                <a:xfrm>
                  <a:off x="1358" y="2467"/>
                  <a:ext cx="0" cy="6"/>
                </a:xfrm>
                <a:custGeom>
                  <a:avLst/>
                  <a:gdLst>
                    <a:gd name="T0" fmla="*/ 0 w 1"/>
                    <a:gd name="T1" fmla="*/ 0 h 48"/>
                    <a:gd name="T2" fmla="*/ 0 w 1"/>
                    <a:gd name="T3" fmla="*/ 1 h 48"/>
                    <a:gd name="T4" fmla="*/ 1 w 1"/>
                    <a:gd name="T5" fmla="*/ 1 h 48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48">
                      <a:moveTo>
                        <a:pt x="0" y="0"/>
                      </a:moveTo>
                      <a:lnTo>
                        <a:pt x="0" y="48"/>
                      </a:lnTo>
                      <a:lnTo>
                        <a:pt x="1" y="48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3" name="Freeform 626"/>
                <xdr:cNvSpPr>
                  <a:spLocks noChangeAspect="1"/>
                </xdr:cNvSpPr>
              </xdr:nvSpPr>
              <xdr:spPr bwMode="auto">
                <a:xfrm>
                  <a:off x="1362" y="2477"/>
                  <a:ext cx="1" cy="25"/>
                </a:xfrm>
                <a:custGeom>
                  <a:avLst/>
                  <a:gdLst>
                    <a:gd name="T0" fmla="*/ 0 w 1"/>
                    <a:gd name="T1" fmla="*/ 0 h 172"/>
                    <a:gd name="T2" fmla="*/ 0 w 1"/>
                    <a:gd name="T3" fmla="*/ 4 h 172"/>
                    <a:gd name="T4" fmla="*/ 1 w 1"/>
                    <a:gd name="T5" fmla="*/ 4 h 1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172">
                      <a:moveTo>
                        <a:pt x="0" y="0"/>
                      </a:moveTo>
                      <a:lnTo>
                        <a:pt x="0" y="172"/>
                      </a:lnTo>
                      <a:lnTo>
                        <a:pt x="1" y="1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4" name="Freeform 627"/>
                <xdr:cNvSpPr>
                  <a:spLocks noChangeAspect="1"/>
                </xdr:cNvSpPr>
              </xdr:nvSpPr>
              <xdr:spPr bwMode="auto">
                <a:xfrm>
                  <a:off x="1361" y="2475"/>
                  <a:ext cx="1" cy="2"/>
                </a:xfrm>
                <a:custGeom>
                  <a:avLst/>
                  <a:gdLst>
                    <a:gd name="T0" fmla="*/ 0 w 13"/>
                    <a:gd name="T1" fmla="*/ 0 h 13"/>
                    <a:gd name="T2" fmla="*/ 0 w 13"/>
                    <a:gd name="T3" fmla="*/ 0 h 13"/>
                    <a:gd name="T4" fmla="*/ 0 w 13"/>
                    <a:gd name="T5" fmla="*/ 0 h 13"/>
                    <a:gd name="T6" fmla="*/ 0 w 13"/>
                    <a:gd name="T7" fmla="*/ 0 h 1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3">
                      <a:moveTo>
                        <a:pt x="13" y="13"/>
                      </a:moveTo>
                      <a:lnTo>
                        <a:pt x="8" y="4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5" name="Freeform 628"/>
                <xdr:cNvSpPr>
                  <a:spLocks noChangeAspect="1"/>
                </xdr:cNvSpPr>
              </xdr:nvSpPr>
              <xdr:spPr bwMode="auto">
                <a:xfrm>
                  <a:off x="1360" y="2475"/>
                  <a:ext cx="37" cy="0"/>
                </a:xfrm>
                <a:custGeom>
                  <a:avLst/>
                  <a:gdLst>
                    <a:gd name="T0" fmla="*/ 5 w 300"/>
                    <a:gd name="T1" fmla="*/ 0 w 300"/>
                    <a:gd name="T2" fmla="*/ 0 w 300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300">
                      <a:moveTo>
                        <a:pt x="300" y="0"/>
                      </a:move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6" name="Freeform 629"/>
                <xdr:cNvSpPr>
                  <a:spLocks noChangeAspect="1"/>
                </xdr:cNvSpPr>
              </xdr:nvSpPr>
              <xdr:spPr bwMode="auto">
                <a:xfrm>
                  <a:off x="1362" y="2502"/>
                  <a:ext cx="5" cy="5"/>
                </a:xfrm>
                <a:custGeom>
                  <a:avLst/>
                  <a:gdLst>
                    <a:gd name="T0" fmla="*/ 0 w 39"/>
                    <a:gd name="T1" fmla="*/ 0 h 37"/>
                    <a:gd name="T2" fmla="*/ 0 w 39"/>
                    <a:gd name="T3" fmla="*/ 1 h 37"/>
                    <a:gd name="T4" fmla="*/ 1 w 39"/>
                    <a:gd name="T5" fmla="*/ 1 h 37"/>
                    <a:gd name="T6" fmla="*/ 1 w 39"/>
                    <a:gd name="T7" fmla="*/ 1 h 37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39" h="37">
                      <a:moveTo>
                        <a:pt x="0" y="0"/>
                      </a:moveTo>
                      <a:lnTo>
                        <a:pt x="10" y="27"/>
                      </a:lnTo>
                      <a:lnTo>
                        <a:pt x="37" y="37"/>
                      </a:lnTo>
                      <a:lnTo>
                        <a:pt x="39" y="37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7" name="Freeform 630"/>
                <xdr:cNvSpPr>
                  <a:spLocks noChangeAspect="1"/>
                </xdr:cNvSpPr>
              </xdr:nvSpPr>
              <xdr:spPr bwMode="auto">
                <a:xfrm>
                  <a:off x="1358" y="2465"/>
                  <a:ext cx="2" cy="2"/>
                </a:xfrm>
                <a:custGeom>
                  <a:avLst/>
                  <a:gdLst>
                    <a:gd name="T0" fmla="*/ 0 w 12"/>
                    <a:gd name="T1" fmla="*/ 0 h 12"/>
                    <a:gd name="T2" fmla="*/ 0 w 12"/>
                    <a:gd name="T3" fmla="*/ 0 h 12"/>
                    <a:gd name="T4" fmla="*/ 0 w 12"/>
                    <a:gd name="T5" fmla="*/ 0 h 12"/>
                    <a:gd name="T6" fmla="*/ 0 w 12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2" h="12">
                      <a:moveTo>
                        <a:pt x="12" y="0"/>
                      </a:moveTo>
                      <a:lnTo>
                        <a:pt x="3" y="3"/>
                      </a:lnTo>
                      <a:lnTo>
                        <a:pt x="0" y="12"/>
                      </a:lnTo>
                      <a:lnTo>
                        <a:pt x="1" y="1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8" name="Freeform 631"/>
                <xdr:cNvSpPr>
                  <a:spLocks noChangeAspect="1"/>
                </xdr:cNvSpPr>
              </xdr:nvSpPr>
              <xdr:spPr bwMode="auto">
                <a:xfrm>
                  <a:off x="1367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9" name="Freeform 632"/>
                <xdr:cNvSpPr>
                  <a:spLocks noChangeAspect="1"/>
                </xdr:cNvSpPr>
              </xdr:nvSpPr>
              <xdr:spPr bwMode="auto">
                <a:xfrm>
                  <a:off x="1364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10" name="Freeform 633"/>
                <xdr:cNvSpPr>
                  <a:spLocks noChangeAspect="1"/>
                </xdr:cNvSpPr>
              </xdr:nvSpPr>
              <xdr:spPr bwMode="auto">
                <a:xfrm>
                  <a:off x="1377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11" name="Freeform 634"/>
                <xdr:cNvSpPr>
                  <a:spLocks noChangeAspect="1"/>
                </xdr:cNvSpPr>
              </xdr:nvSpPr>
              <xdr:spPr bwMode="auto">
                <a:xfrm>
                  <a:off x="1380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12" name="Freeform 635"/>
                <xdr:cNvSpPr>
                  <a:spLocks noChangeAspect="1"/>
                </xdr:cNvSpPr>
              </xdr:nvSpPr>
              <xdr:spPr bwMode="auto">
                <a:xfrm>
                  <a:off x="1390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13" name="Freeform 636"/>
                <xdr:cNvSpPr>
                  <a:spLocks noChangeAspect="1"/>
                </xdr:cNvSpPr>
              </xdr:nvSpPr>
              <xdr:spPr bwMode="auto">
                <a:xfrm>
                  <a:off x="1393" y="2465"/>
                  <a:ext cx="0" cy="10"/>
                </a:xfrm>
                <a:custGeom>
                  <a:avLst/>
                  <a:gdLst>
                    <a:gd name="T0" fmla="*/ 0 w 2"/>
                    <a:gd name="T1" fmla="*/ 0 h 72"/>
                    <a:gd name="T2" fmla="*/ 0 w 2"/>
                    <a:gd name="T3" fmla="*/ 1 h 72"/>
                    <a:gd name="T4" fmla="*/ 1 w 2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2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2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14" name="Freeform 637"/>
                <xdr:cNvSpPr>
                  <a:spLocks noChangeAspect="1"/>
                </xdr:cNvSpPr>
              </xdr:nvSpPr>
              <xdr:spPr bwMode="auto">
                <a:xfrm>
                  <a:off x="1397" y="2465"/>
                  <a:ext cx="2" cy="2"/>
                </a:xfrm>
                <a:custGeom>
                  <a:avLst/>
                  <a:gdLst>
                    <a:gd name="T0" fmla="*/ 0 w 12"/>
                    <a:gd name="T1" fmla="*/ 0 h 12"/>
                    <a:gd name="T2" fmla="*/ 0 w 12"/>
                    <a:gd name="T3" fmla="*/ 0 h 12"/>
                    <a:gd name="T4" fmla="*/ 0 w 12"/>
                    <a:gd name="T5" fmla="*/ 0 h 12"/>
                    <a:gd name="T6" fmla="*/ 0 w 12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2" h="12">
                      <a:moveTo>
                        <a:pt x="12" y="12"/>
                      </a:moveTo>
                      <a:lnTo>
                        <a:pt x="8" y="3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sp macro="" textlink="">
            <xdr:nvSpPr>
              <xdr:cNvPr id="149" name="Freeform 638"/>
              <xdr:cNvSpPr>
                <a:spLocks noChangeAspect="1"/>
              </xdr:cNvSpPr>
            </xdr:nvSpPr>
            <xdr:spPr bwMode="auto">
              <a:xfrm>
                <a:off x="1368" y="2300"/>
                <a:ext cx="21" cy="0"/>
              </a:xfrm>
              <a:custGeom>
                <a:avLst/>
                <a:gdLst>
                  <a:gd name="T0" fmla="*/ 3 w 166"/>
                  <a:gd name="T1" fmla="*/ 0 w 166"/>
                  <a:gd name="T2" fmla="*/ 0 w 16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66">
                    <a:moveTo>
                      <a:pt x="16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0" name="Freeform 639"/>
              <xdr:cNvSpPr>
                <a:spLocks noChangeAspect="1"/>
              </xdr:cNvSpPr>
            </xdr:nvSpPr>
            <xdr:spPr bwMode="auto">
              <a:xfrm>
                <a:off x="1368" y="2306"/>
                <a:ext cx="21" cy="0"/>
              </a:xfrm>
              <a:custGeom>
                <a:avLst/>
                <a:gdLst>
                  <a:gd name="T0" fmla="*/ 3 w 166"/>
                  <a:gd name="T1" fmla="*/ 0 w 166"/>
                  <a:gd name="T2" fmla="*/ 0 w 16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66">
                    <a:moveTo>
                      <a:pt x="16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1" name="Freeform 640"/>
              <xdr:cNvSpPr>
                <a:spLocks noChangeAspect="1"/>
              </xdr:cNvSpPr>
            </xdr:nvSpPr>
            <xdr:spPr bwMode="auto">
              <a:xfrm>
                <a:off x="1368" y="2299"/>
                <a:ext cx="0" cy="9"/>
              </a:xfrm>
              <a:custGeom>
                <a:avLst/>
                <a:gdLst>
                  <a:gd name="T0" fmla="*/ 0 w 1"/>
                  <a:gd name="T1" fmla="*/ 1 h 63"/>
                  <a:gd name="T2" fmla="*/ 0 w 1"/>
                  <a:gd name="T3" fmla="*/ 0 h 63"/>
                  <a:gd name="T4" fmla="*/ 1 w 1"/>
                  <a:gd name="T5" fmla="*/ 0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6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2" name="Freeform 641"/>
              <xdr:cNvSpPr>
                <a:spLocks noChangeAspect="1"/>
              </xdr:cNvSpPr>
            </xdr:nvSpPr>
            <xdr:spPr bwMode="auto">
              <a:xfrm>
                <a:off x="1393" y="2316"/>
                <a:ext cx="0" cy="11"/>
              </a:xfrm>
              <a:custGeom>
                <a:avLst/>
                <a:gdLst>
                  <a:gd name="T0" fmla="*/ 0 w 2"/>
                  <a:gd name="T1" fmla="*/ 2 h 73"/>
                  <a:gd name="T2" fmla="*/ 0 w 2"/>
                  <a:gd name="T3" fmla="*/ 0 h 73"/>
                  <a:gd name="T4" fmla="*/ 1 w 2"/>
                  <a:gd name="T5" fmla="*/ 0 h 7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73">
                    <a:moveTo>
                      <a:pt x="0" y="73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3" name="Freeform 642"/>
              <xdr:cNvSpPr>
                <a:spLocks noChangeAspect="1"/>
              </xdr:cNvSpPr>
            </xdr:nvSpPr>
            <xdr:spPr bwMode="auto">
              <a:xfrm>
                <a:off x="1393" y="2370"/>
                <a:ext cx="2" cy="2"/>
              </a:xfrm>
              <a:custGeom>
                <a:avLst/>
                <a:gdLst>
                  <a:gd name="T0" fmla="*/ 0 w 14"/>
                  <a:gd name="T1" fmla="*/ 0 h 12"/>
                  <a:gd name="T2" fmla="*/ 0 w 14"/>
                  <a:gd name="T3" fmla="*/ 0 h 12"/>
                  <a:gd name="T4" fmla="*/ 0 w 14"/>
                  <a:gd name="T5" fmla="*/ 0 h 12"/>
                  <a:gd name="T6" fmla="*/ 0 w 14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" h="12">
                    <a:moveTo>
                      <a:pt x="0" y="12"/>
                    </a:moveTo>
                    <a:lnTo>
                      <a:pt x="10" y="9"/>
                    </a:lnTo>
                    <a:lnTo>
                      <a:pt x="13" y="0"/>
                    </a:lnTo>
                    <a:lnTo>
                      <a:pt x="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4" name="Freeform 643"/>
              <xdr:cNvSpPr>
                <a:spLocks noChangeAspect="1"/>
              </xdr:cNvSpPr>
            </xdr:nvSpPr>
            <xdr:spPr bwMode="auto">
              <a:xfrm>
                <a:off x="1393" y="2328"/>
                <a:ext cx="0" cy="8"/>
              </a:xfrm>
              <a:custGeom>
                <a:avLst/>
                <a:gdLst>
                  <a:gd name="T0" fmla="*/ 0 w 2"/>
                  <a:gd name="T1" fmla="*/ 1 h 53"/>
                  <a:gd name="T2" fmla="*/ 0 w 2"/>
                  <a:gd name="T3" fmla="*/ 0 h 53"/>
                  <a:gd name="T4" fmla="*/ 1 w 2"/>
                  <a:gd name="T5" fmla="*/ 0 h 5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53">
                    <a:moveTo>
                      <a:pt x="0" y="53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5" name="Freeform 644"/>
              <xdr:cNvSpPr>
                <a:spLocks noChangeAspect="1"/>
              </xdr:cNvSpPr>
            </xdr:nvSpPr>
            <xdr:spPr bwMode="auto">
              <a:xfrm>
                <a:off x="1393" y="2337"/>
                <a:ext cx="0" cy="13"/>
              </a:xfrm>
              <a:custGeom>
                <a:avLst/>
                <a:gdLst>
                  <a:gd name="T0" fmla="*/ 0 w 2"/>
                  <a:gd name="T1" fmla="*/ 2 h 92"/>
                  <a:gd name="T2" fmla="*/ 0 w 2"/>
                  <a:gd name="T3" fmla="*/ 0 h 92"/>
                  <a:gd name="T4" fmla="*/ 1 w 2"/>
                  <a:gd name="T5" fmla="*/ 0 h 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92">
                    <a:moveTo>
                      <a:pt x="0" y="92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6" name="Freeform 645"/>
              <xdr:cNvSpPr>
                <a:spLocks noChangeAspect="1"/>
              </xdr:cNvSpPr>
            </xdr:nvSpPr>
            <xdr:spPr bwMode="auto">
              <a:xfrm>
                <a:off x="1393" y="2352"/>
                <a:ext cx="0" cy="9"/>
              </a:xfrm>
              <a:custGeom>
                <a:avLst/>
                <a:gdLst>
                  <a:gd name="T0" fmla="*/ 0 w 2"/>
                  <a:gd name="T1" fmla="*/ 1 h 61"/>
                  <a:gd name="T2" fmla="*/ 0 w 2"/>
                  <a:gd name="T3" fmla="*/ 0 h 61"/>
                  <a:gd name="T4" fmla="*/ 1 w 2"/>
                  <a:gd name="T5" fmla="*/ 0 h 6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61">
                    <a:moveTo>
                      <a:pt x="0" y="61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7" name="Freeform 646"/>
              <xdr:cNvSpPr>
                <a:spLocks noChangeAspect="1"/>
              </xdr:cNvSpPr>
            </xdr:nvSpPr>
            <xdr:spPr bwMode="auto">
              <a:xfrm>
                <a:off x="1398" y="2325"/>
                <a:ext cx="0" cy="28"/>
              </a:xfrm>
              <a:custGeom>
                <a:avLst/>
                <a:gdLst>
                  <a:gd name="T0" fmla="*/ 0 w 1"/>
                  <a:gd name="T1" fmla="*/ 0 h 196"/>
                  <a:gd name="T2" fmla="*/ 0 w 1"/>
                  <a:gd name="T3" fmla="*/ 4 h 196"/>
                  <a:gd name="T4" fmla="*/ 1 w 1"/>
                  <a:gd name="T5" fmla="*/ 4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0"/>
                    </a:moveTo>
                    <a:lnTo>
                      <a:pt x="0" y="196"/>
                    </a:lnTo>
                    <a:lnTo>
                      <a:pt x="1" y="19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8" name="Freeform 647"/>
              <xdr:cNvSpPr>
                <a:spLocks noChangeAspect="1"/>
              </xdr:cNvSpPr>
            </xdr:nvSpPr>
            <xdr:spPr bwMode="auto">
              <a:xfrm>
                <a:off x="1395" y="2325"/>
                <a:ext cx="0" cy="28"/>
              </a:xfrm>
              <a:custGeom>
                <a:avLst/>
                <a:gdLst>
                  <a:gd name="T0" fmla="*/ 0 w 1"/>
                  <a:gd name="T1" fmla="*/ 4 h 196"/>
                  <a:gd name="T2" fmla="*/ 0 w 1"/>
                  <a:gd name="T3" fmla="*/ 0 h 196"/>
                  <a:gd name="T4" fmla="*/ 1 w 1"/>
                  <a:gd name="T5" fmla="*/ 0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19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9" name="Freeform 648"/>
              <xdr:cNvSpPr>
                <a:spLocks noChangeAspect="1"/>
              </xdr:cNvSpPr>
            </xdr:nvSpPr>
            <xdr:spPr bwMode="auto">
              <a:xfrm>
                <a:off x="1398" y="2325"/>
                <a:ext cx="0" cy="28"/>
              </a:xfrm>
              <a:custGeom>
                <a:avLst/>
                <a:gdLst>
                  <a:gd name="T0" fmla="*/ 0 w 1"/>
                  <a:gd name="T1" fmla="*/ 4 h 196"/>
                  <a:gd name="T2" fmla="*/ 0 w 1"/>
                  <a:gd name="T3" fmla="*/ 0 h 196"/>
                  <a:gd name="T4" fmla="*/ 1 w 1"/>
                  <a:gd name="T5" fmla="*/ 0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19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0" name="Freeform 649"/>
              <xdr:cNvSpPr>
                <a:spLocks noChangeAspect="1"/>
              </xdr:cNvSpPr>
            </xdr:nvSpPr>
            <xdr:spPr bwMode="auto">
              <a:xfrm>
                <a:off x="1400" y="2326"/>
                <a:ext cx="0" cy="27"/>
              </a:xfrm>
              <a:custGeom>
                <a:avLst/>
                <a:gdLst>
                  <a:gd name="T0" fmla="*/ 0 w 1"/>
                  <a:gd name="T1" fmla="*/ 0 h 192"/>
                  <a:gd name="T2" fmla="*/ 0 w 1"/>
                  <a:gd name="T3" fmla="*/ 4 h 192"/>
                  <a:gd name="T4" fmla="*/ 1 w 1"/>
                  <a:gd name="T5" fmla="*/ 4 h 1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2">
                    <a:moveTo>
                      <a:pt x="0" y="0"/>
                    </a:moveTo>
                    <a:lnTo>
                      <a:pt x="0" y="192"/>
                    </a:lnTo>
                    <a:lnTo>
                      <a:pt x="1" y="19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1" name="Freeform 650"/>
              <xdr:cNvSpPr>
                <a:spLocks noChangeAspect="1"/>
              </xdr:cNvSpPr>
            </xdr:nvSpPr>
            <xdr:spPr bwMode="auto">
              <a:xfrm>
                <a:off x="1395" y="2353"/>
                <a:ext cx="3" cy="0"/>
              </a:xfrm>
              <a:custGeom>
                <a:avLst/>
                <a:gdLst>
                  <a:gd name="T0" fmla="*/ 0 w 25"/>
                  <a:gd name="T1" fmla="*/ 0 w 25"/>
                  <a:gd name="T2" fmla="*/ 0 w 25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">
                    <a:moveTo>
                      <a:pt x="25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2" name="Freeform 651"/>
              <xdr:cNvSpPr>
                <a:spLocks noChangeAspect="1"/>
              </xdr:cNvSpPr>
            </xdr:nvSpPr>
            <xdr:spPr bwMode="auto">
              <a:xfrm>
                <a:off x="1398" y="2349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3" name="Freeform 652"/>
              <xdr:cNvSpPr>
                <a:spLocks noChangeAspect="1"/>
              </xdr:cNvSpPr>
            </xdr:nvSpPr>
            <xdr:spPr bwMode="auto">
              <a:xfrm>
                <a:off x="1395" y="2361"/>
                <a:ext cx="0" cy="9"/>
              </a:xfrm>
              <a:custGeom>
                <a:avLst/>
                <a:gdLst>
                  <a:gd name="T0" fmla="*/ 0 w 1"/>
                  <a:gd name="T1" fmla="*/ 0 h 66"/>
                  <a:gd name="T2" fmla="*/ 0 w 1"/>
                  <a:gd name="T3" fmla="*/ 1 h 66"/>
                  <a:gd name="T4" fmla="*/ 1 w 1"/>
                  <a:gd name="T5" fmla="*/ 1 h 6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6">
                    <a:moveTo>
                      <a:pt x="0" y="0"/>
                    </a:moveTo>
                    <a:lnTo>
                      <a:pt x="0" y="66"/>
                    </a:lnTo>
                    <a:lnTo>
                      <a:pt x="1" y="6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4" name="Freeform 653"/>
              <xdr:cNvSpPr>
                <a:spLocks noChangeAspect="1"/>
              </xdr:cNvSpPr>
            </xdr:nvSpPr>
            <xdr:spPr bwMode="auto">
              <a:xfrm>
                <a:off x="1395" y="2325"/>
                <a:ext cx="3" cy="0"/>
              </a:xfrm>
              <a:custGeom>
                <a:avLst/>
                <a:gdLst>
                  <a:gd name="T0" fmla="*/ 0 w 26"/>
                  <a:gd name="T1" fmla="*/ 0 w 26"/>
                  <a:gd name="T2" fmla="*/ 0 w 2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">
                    <a:moveTo>
                      <a:pt x="0" y="0"/>
                    </a:moveTo>
                    <a:lnTo>
                      <a:pt x="25" y="0"/>
                    </a:lnTo>
                    <a:lnTo>
                      <a:pt x="2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5" name="Freeform 654"/>
              <xdr:cNvSpPr>
                <a:spLocks noChangeAspect="1"/>
              </xdr:cNvSpPr>
            </xdr:nvSpPr>
            <xdr:spPr bwMode="auto">
              <a:xfrm>
                <a:off x="1398" y="2330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6" name="Freeform 655"/>
              <xdr:cNvSpPr>
                <a:spLocks noChangeAspect="1"/>
              </xdr:cNvSpPr>
            </xdr:nvSpPr>
            <xdr:spPr bwMode="auto">
              <a:xfrm>
                <a:off x="1370" y="2308"/>
                <a:ext cx="0" cy="6"/>
              </a:xfrm>
              <a:custGeom>
                <a:avLst/>
                <a:gdLst>
                  <a:gd name="T0" fmla="*/ 0 w 1"/>
                  <a:gd name="T1" fmla="*/ 1 h 44"/>
                  <a:gd name="T2" fmla="*/ 0 w 1"/>
                  <a:gd name="T3" fmla="*/ 0 h 44"/>
                  <a:gd name="T4" fmla="*/ 1 w 1"/>
                  <a:gd name="T5" fmla="*/ 0 h 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4">
                    <a:moveTo>
                      <a:pt x="0" y="4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7" name="Freeform 656"/>
              <xdr:cNvSpPr>
                <a:spLocks noChangeAspect="1"/>
              </xdr:cNvSpPr>
            </xdr:nvSpPr>
            <xdr:spPr bwMode="auto">
              <a:xfrm>
                <a:off x="1392" y="2314"/>
                <a:ext cx="1" cy="2"/>
              </a:xfrm>
              <a:custGeom>
                <a:avLst/>
                <a:gdLst>
                  <a:gd name="T0" fmla="*/ 0 w 11"/>
                  <a:gd name="T1" fmla="*/ 0 h 14"/>
                  <a:gd name="T2" fmla="*/ 0 w 11"/>
                  <a:gd name="T3" fmla="*/ 0 h 14"/>
                  <a:gd name="T4" fmla="*/ 0 w 11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4">
                    <a:moveTo>
                      <a:pt x="11" y="1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8" name="Freeform 657"/>
              <xdr:cNvSpPr>
                <a:spLocks noChangeAspect="1"/>
              </xdr:cNvSpPr>
            </xdr:nvSpPr>
            <xdr:spPr bwMode="auto">
              <a:xfrm>
                <a:off x="1387" y="2308"/>
                <a:ext cx="0" cy="6"/>
              </a:xfrm>
              <a:custGeom>
                <a:avLst/>
                <a:gdLst>
                  <a:gd name="T0" fmla="*/ 0 w 1"/>
                  <a:gd name="T1" fmla="*/ 1 h 44"/>
                  <a:gd name="T2" fmla="*/ 0 w 1"/>
                  <a:gd name="T3" fmla="*/ 0 h 44"/>
                  <a:gd name="T4" fmla="*/ 1 w 1"/>
                  <a:gd name="T5" fmla="*/ 0 h 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4">
                    <a:moveTo>
                      <a:pt x="0" y="4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9" name="Freeform 658"/>
              <xdr:cNvSpPr>
                <a:spLocks noChangeAspect="1"/>
              </xdr:cNvSpPr>
            </xdr:nvSpPr>
            <xdr:spPr bwMode="auto">
              <a:xfrm>
                <a:off x="1389" y="2299"/>
                <a:ext cx="0" cy="9"/>
              </a:xfrm>
              <a:custGeom>
                <a:avLst/>
                <a:gdLst>
                  <a:gd name="T0" fmla="*/ 0 w 1"/>
                  <a:gd name="T1" fmla="*/ 1 h 63"/>
                  <a:gd name="T2" fmla="*/ 0 w 1"/>
                  <a:gd name="T3" fmla="*/ 0 h 63"/>
                  <a:gd name="T4" fmla="*/ 1 w 1"/>
                  <a:gd name="T5" fmla="*/ 0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6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0" name="Freeform 659"/>
              <xdr:cNvSpPr>
                <a:spLocks noChangeAspect="1"/>
              </xdr:cNvSpPr>
            </xdr:nvSpPr>
            <xdr:spPr bwMode="auto">
              <a:xfrm>
                <a:off x="1364" y="2316"/>
                <a:ext cx="0" cy="11"/>
              </a:xfrm>
              <a:custGeom>
                <a:avLst/>
                <a:gdLst>
                  <a:gd name="T0" fmla="*/ 0 w 1"/>
                  <a:gd name="T1" fmla="*/ 2 h 73"/>
                  <a:gd name="T2" fmla="*/ 0 w 1"/>
                  <a:gd name="T3" fmla="*/ 0 h 73"/>
                  <a:gd name="T4" fmla="*/ 1 w 1"/>
                  <a:gd name="T5" fmla="*/ 0 h 7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73">
                    <a:moveTo>
                      <a:pt x="0" y="7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1" name="Freeform 660"/>
              <xdr:cNvSpPr>
                <a:spLocks noChangeAspect="1"/>
              </xdr:cNvSpPr>
            </xdr:nvSpPr>
            <xdr:spPr bwMode="auto">
              <a:xfrm>
                <a:off x="1364" y="2328"/>
                <a:ext cx="0" cy="8"/>
              </a:xfrm>
              <a:custGeom>
                <a:avLst/>
                <a:gdLst>
                  <a:gd name="T0" fmla="*/ 0 w 1"/>
                  <a:gd name="T1" fmla="*/ 1 h 53"/>
                  <a:gd name="T2" fmla="*/ 0 w 1"/>
                  <a:gd name="T3" fmla="*/ 0 h 53"/>
                  <a:gd name="T4" fmla="*/ 1 w 1"/>
                  <a:gd name="T5" fmla="*/ 0 h 5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3">
                    <a:moveTo>
                      <a:pt x="0" y="5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2" name="Freeform 661"/>
              <xdr:cNvSpPr>
                <a:spLocks noChangeAspect="1"/>
              </xdr:cNvSpPr>
            </xdr:nvSpPr>
            <xdr:spPr bwMode="auto">
              <a:xfrm>
                <a:off x="1364" y="2337"/>
                <a:ext cx="0" cy="13"/>
              </a:xfrm>
              <a:custGeom>
                <a:avLst/>
                <a:gdLst>
                  <a:gd name="T0" fmla="*/ 0 w 1"/>
                  <a:gd name="T1" fmla="*/ 2 h 92"/>
                  <a:gd name="T2" fmla="*/ 0 w 1"/>
                  <a:gd name="T3" fmla="*/ 0 h 92"/>
                  <a:gd name="T4" fmla="*/ 1 w 1"/>
                  <a:gd name="T5" fmla="*/ 0 h 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2">
                    <a:moveTo>
                      <a:pt x="0" y="9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3" name="Freeform 662"/>
              <xdr:cNvSpPr>
                <a:spLocks noChangeAspect="1"/>
              </xdr:cNvSpPr>
            </xdr:nvSpPr>
            <xdr:spPr bwMode="auto">
              <a:xfrm>
                <a:off x="1363" y="2336"/>
                <a:ext cx="0" cy="1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4" name="Freeform 663"/>
              <xdr:cNvSpPr>
                <a:spLocks noChangeAspect="1"/>
              </xdr:cNvSpPr>
            </xdr:nvSpPr>
            <xdr:spPr bwMode="auto">
              <a:xfrm>
                <a:off x="1364" y="2352"/>
                <a:ext cx="0" cy="9"/>
              </a:xfrm>
              <a:custGeom>
                <a:avLst/>
                <a:gdLst>
                  <a:gd name="T0" fmla="*/ 0 w 1"/>
                  <a:gd name="T1" fmla="*/ 1 h 61"/>
                  <a:gd name="T2" fmla="*/ 0 w 1"/>
                  <a:gd name="T3" fmla="*/ 0 h 61"/>
                  <a:gd name="T4" fmla="*/ 1 w 1"/>
                  <a:gd name="T5" fmla="*/ 0 h 6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1">
                    <a:moveTo>
                      <a:pt x="0" y="6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5" name="Freeform 664"/>
              <xdr:cNvSpPr>
                <a:spLocks noChangeAspect="1"/>
              </xdr:cNvSpPr>
            </xdr:nvSpPr>
            <xdr:spPr bwMode="auto">
              <a:xfrm>
                <a:off x="1362" y="2361"/>
                <a:ext cx="0" cy="9"/>
              </a:xfrm>
              <a:custGeom>
                <a:avLst/>
                <a:gdLst>
                  <a:gd name="T0" fmla="*/ 0 w 1"/>
                  <a:gd name="T1" fmla="*/ 0 h 66"/>
                  <a:gd name="T2" fmla="*/ 0 w 1"/>
                  <a:gd name="T3" fmla="*/ 1 h 66"/>
                  <a:gd name="T4" fmla="*/ 1 w 1"/>
                  <a:gd name="T5" fmla="*/ 1 h 6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6">
                    <a:moveTo>
                      <a:pt x="0" y="0"/>
                    </a:moveTo>
                    <a:lnTo>
                      <a:pt x="0" y="66"/>
                    </a:lnTo>
                    <a:lnTo>
                      <a:pt x="1" y="6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6" name="Freeform 665"/>
              <xdr:cNvSpPr>
                <a:spLocks noChangeAspect="1"/>
              </xdr:cNvSpPr>
            </xdr:nvSpPr>
            <xdr:spPr bwMode="auto">
              <a:xfrm>
                <a:off x="1362" y="2370"/>
                <a:ext cx="2" cy="2"/>
              </a:xfrm>
              <a:custGeom>
                <a:avLst/>
                <a:gdLst>
                  <a:gd name="T0" fmla="*/ 0 w 14"/>
                  <a:gd name="T1" fmla="*/ 0 h 12"/>
                  <a:gd name="T2" fmla="*/ 0 w 14"/>
                  <a:gd name="T3" fmla="*/ 0 h 12"/>
                  <a:gd name="T4" fmla="*/ 0 w 14"/>
                  <a:gd name="T5" fmla="*/ 0 h 12"/>
                  <a:gd name="T6" fmla="*/ 0 w 14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" h="12">
                    <a:moveTo>
                      <a:pt x="0" y="0"/>
                    </a:moveTo>
                    <a:lnTo>
                      <a:pt x="4" y="9"/>
                    </a:lnTo>
                    <a:lnTo>
                      <a:pt x="13" y="12"/>
                    </a:lnTo>
                    <a:lnTo>
                      <a:pt x="14" y="1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7" name="Freeform 666"/>
              <xdr:cNvSpPr>
                <a:spLocks noChangeAspect="1"/>
              </xdr:cNvSpPr>
            </xdr:nvSpPr>
            <xdr:spPr bwMode="auto">
              <a:xfrm>
                <a:off x="1363" y="2350"/>
                <a:ext cx="0" cy="2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8" name="Freeform 667"/>
              <xdr:cNvSpPr>
                <a:spLocks noChangeAspect="1"/>
              </xdr:cNvSpPr>
            </xdr:nvSpPr>
            <xdr:spPr bwMode="auto">
              <a:xfrm>
                <a:off x="1363" y="2327"/>
                <a:ext cx="0" cy="1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9" name="Freeform 668"/>
              <xdr:cNvSpPr>
                <a:spLocks noChangeAspect="1"/>
              </xdr:cNvSpPr>
            </xdr:nvSpPr>
            <xdr:spPr bwMode="auto">
              <a:xfrm>
                <a:off x="1364" y="2314"/>
                <a:ext cx="1" cy="2"/>
              </a:xfrm>
              <a:custGeom>
                <a:avLst/>
                <a:gdLst>
                  <a:gd name="T0" fmla="*/ 0 w 13"/>
                  <a:gd name="T1" fmla="*/ 0 h 14"/>
                  <a:gd name="T2" fmla="*/ 0 w 13"/>
                  <a:gd name="T3" fmla="*/ 0 h 14"/>
                  <a:gd name="T4" fmla="*/ 0 w 13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3" h="14">
                    <a:moveTo>
                      <a:pt x="0" y="14"/>
                    </a:moveTo>
                    <a:lnTo>
                      <a:pt x="12" y="0"/>
                    </a:lnTo>
                    <a:lnTo>
                      <a:pt x="1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0" name="Freeform 669"/>
              <xdr:cNvSpPr>
                <a:spLocks noChangeAspect="1"/>
              </xdr:cNvSpPr>
            </xdr:nvSpPr>
            <xdr:spPr bwMode="auto">
              <a:xfrm>
                <a:off x="1363" y="2336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1" name="Freeform 670"/>
              <xdr:cNvSpPr>
                <a:spLocks noChangeAspect="1"/>
              </xdr:cNvSpPr>
            </xdr:nvSpPr>
            <xdr:spPr bwMode="auto">
              <a:xfrm>
                <a:off x="1363" y="2337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2" name="Freeform 671"/>
              <xdr:cNvSpPr>
                <a:spLocks noChangeAspect="1"/>
              </xdr:cNvSpPr>
            </xdr:nvSpPr>
            <xdr:spPr bwMode="auto">
              <a:xfrm>
                <a:off x="1362" y="2361"/>
                <a:ext cx="33" cy="0"/>
              </a:xfrm>
              <a:custGeom>
                <a:avLst/>
                <a:gdLst>
                  <a:gd name="T0" fmla="*/ 0 w 264"/>
                  <a:gd name="T1" fmla="*/ 4 w 264"/>
                  <a:gd name="T2" fmla="*/ 4 w 26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4">
                    <a:moveTo>
                      <a:pt x="0" y="0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3" name="Freeform 672"/>
              <xdr:cNvSpPr>
                <a:spLocks noChangeAspect="1"/>
              </xdr:cNvSpPr>
            </xdr:nvSpPr>
            <xdr:spPr bwMode="auto">
              <a:xfrm>
                <a:off x="1363" y="2369"/>
                <a:ext cx="32" cy="3"/>
              </a:xfrm>
              <a:custGeom>
                <a:avLst/>
                <a:gdLst>
                  <a:gd name="T0" fmla="*/ 0 w 255"/>
                  <a:gd name="T1" fmla="*/ 1 h 17"/>
                  <a:gd name="T2" fmla="*/ 4 w 255"/>
                  <a:gd name="T3" fmla="*/ 0 h 17"/>
                  <a:gd name="T4" fmla="*/ 4 w 255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55" h="17">
                    <a:moveTo>
                      <a:pt x="0" y="17"/>
                    </a:moveTo>
                    <a:lnTo>
                      <a:pt x="254" y="0"/>
                    </a:lnTo>
                    <a:lnTo>
                      <a:pt x="25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4" name="Freeform 673"/>
              <xdr:cNvSpPr>
                <a:spLocks noChangeAspect="1"/>
              </xdr:cNvSpPr>
            </xdr:nvSpPr>
            <xdr:spPr bwMode="auto">
              <a:xfrm>
                <a:off x="1362" y="2367"/>
                <a:ext cx="33" cy="3"/>
              </a:xfrm>
              <a:custGeom>
                <a:avLst/>
                <a:gdLst>
                  <a:gd name="T0" fmla="*/ 0 w 264"/>
                  <a:gd name="T1" fmla="*/ 1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5" name="Freeform 674"/>
              <xdr:cNvSpPr>
                <a:spLocks noChangeAspect="1"/>
              </xdr:cNvSpPr>
            </xdr:nvSpPr>
            <xdr:spPr bwMode="auto">
              <a:xfrm>
                <a:off x="1362" y="2365"/>
                <a:ext cx="33" cy="2"/>
              </a:xfrm>
              <a:custGeom>
                <a:avLst/>
                <a:gdLst>
                  <a:gd name="T0" fmla="*/ 0 w 264"/>
                  <a:gd name="T1" fmla="*/ 0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6" name="Freeform 675"/>
              <xdr:cNvSpPr>
                <a:spLocks noChangeAspect="1"/>
              </xdr:cNvSpPr>
            </xdr:nvSpPr>
            <xdr:spPr bwMode="auto">
              <a:xfrm>
                <a:off x="1362" y="2363"/>
                <a:ext cx="33" cy="2"/>
              </a:xfrm>
              <a:custGeom>
                <a:avLst/>
                <a:gdLst>
                  <a:gd name="T0" fmla="*/ 0 w 264"/>
                  <a:gd name="T1" fmla="*/ 0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7" name="Freeform 676"/>
              <xdr:cNvSpPr>
                <a:spLocks noChangeAspect="1"/>
              </xdr:cNvSpPr>
            </xdr:nvSpPr>
            <xdr:spPr bwMode="auto">
              <a:xfrm>
                <a:off x="1363" y="2352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8" name="Freeform 677"/>
              <xdr:cNvSpPr>
                <a:spLocks noChangeAspect="1"/>
              </xdr:cNvSpPr>
            </xdr:nvSpPr>
            <xdr:spPr bwMode="auto">
              <a:xfrm>
                <a:off x="1363" y="2350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9" name="Freeform 678"/>
              <xdr:cNvSpPr>
                <a:spLocks noChangeAspect="1"/>
              </xdr:cNvSpPr>
            </xdr:nvSpPr>
            <xdr:spPr bwMode="auto">
              <a:xfrm>
                <a:off x="1363" y="2327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90" name="Freeform 679"/>
              <xdr:cNvSpPr>
                <a:spLocks noChangeAspect="1"/>
              </xdr:cNvSpPr>
            </xdr:nvSpPr>
            <xdr:spPr bwMode="auto">
              <a:xfrm>
                <a:off x="1363" y="2328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91" name="Freeform 680"/>
              <xdr:cNvSpPr>
                <a:spLocks noChangeAspect="1"/>
              </xdr:cNvSpPr>
            </xdr:nvSpPr>
            <xdr:spPr bwMode="auto">
              <a:xfrm>
                <a:off x="1364" y="2372"/>
                <a:ext cx="29" cy="0"/>
              </a:xfrm>
              <a:custGeom>
                <a:avLst/>
                <a:gdLst>
                  <a:gd name="T0" fmla="*/ 0 w 239"/>
                  <a:gd name="T1" fmla="*/ 4 w 239"/>
                  <a:gd name="T2" fmla="*/ 4 w 23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39">
                    <a:moveTo>
                      <a:pt x="0" y="0"/>
                    </a:moveTo>
                    <a:lnTo>
                      <a:pt x="237" y="0"/>
                    </a:lnTo>
                    <a:lnTo>
                      <a:pt x="23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92" name="Freeform 681"/>
              <xdr:cNvSpPr>
                <a:spLocks noChangeAspect="1"/>
              </xdr:cNvSpPr>
            </xdr:nvSpPr>
            <xdr:spPr bwMode="auto">
              <a:xfrm>
                <a:off x="1362" y="2361"/>
                <a:ext cx="31" cy="2"/>
              </a:xfrm>
              <a:custGeom>
                <a:avLst/>
                <a:gdLst>
                  <a:gd name="T0" fmla="*/ 0 w 250"/>
                  <a:gd name="T1" fmla="*/ 0 h 16"/>
                  <a:gd name="T2" fmla="*/ 4 w 250"/>
                  <a:gd name="T3" fmla="*/ 0 h 16"/>
                  <a:gd name="T4" fmla="*/ 4 w 250"/>
                  <a:gd name="T5" fmla="*/ 0 h 1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50" h="16">
                    <a:moveTo>
                      <a:pt x="0" y="16"/>
                    </a:moveTo>
                    <a:lnTo>
                      <a:pt x="249" y="0"/>
                    </a:lnTo>
                    <a:lnTo>
                      <a:pt x="25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93" name="Freeform 682"/>
              <xdr:cNvSpPr>
                <a:spLocks noChangeAspect="1"/>
              </xdr:cNvSpPr>
            </xdr:nvSpPr>
            <xdr:spPr bwMode="auto">
              <a:xfrm>
                <a:off x="1365" y="2314"/>
                <a:ext cx="27" cy="0"/>
              </a:xfrm>
              <a:custGeom>
                <a:avLst/>
                <a:gdLst>
                  <a:gd name="T0" fmla="*/ 3 w 214"/>
                  <a:gd name="T1" fmla="*/ 0 w 214"/>
                  <a:gd name="T2" fmla="*/ 0 w 21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14">
                    <a:moveTo>
                      <a:pt x="214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140" name="Freeform 683"/>
            <xdr:cNvSpPr>
              <a:spLocks noChangeAspect="1"/>
            </xdr:cNvSpPr>
          </xdr:nvSpPr>
          <xdr:spPr bwMode="auto">
            <a:xfrm>
              <a:off x="1110" y="1720"/>
              <a:ext cx="10" cy="26"/>
            </a:xfrm>
            <a:custGeom>
              <a:avLst/>
              <a:gdLst>
                <a:gd name="T0" fmla="*/ 10 w 10"/>
                <a:gd name="T1" fmla="*/ 0 h 26"/>
                <a:gd name="T2" fmla="*/ 6 w 10"/>
                <a:gd name="T3" fmla="*/ 26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0" h="26">
                  <a:moveTo>
                    <a:pt x="10" y="0"/>
                  </a:moveTo>
                  <a:cubicBezTo>
                    <a:pt x="0" y="7"/>
                    <a:pt x="6" y="15"/>
                    <a:pt x="6" y="26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41" name="Freeform 684"/>
            <xdr:cNvSpPr>
              <a:spLocks noChangeAspect="1"/>
            </xdr:cNvSpPr>
          </xdr:nvSpPr>
          <xdr:spPr bwMode="auto">
            <a:xfrm>
              <a:off x="1082" y="1974"/>
              <a:ext cx="16" cy="10"/>
            </a:xfrm>
            <a:custGeom>
              <a:avLst/>
              <a:gdLst>
                <a:gd name="T0" fmla="*/ 0 w 16"/>
                <a:gd name="T1" fmla="*/ 10 h 10"/>
                <a:gd name="T2" fmla="*/ 12 w 16"/>
                <a:gd name="T3" fmla="*/ 6 h 10"/>
                <a:gd name="T4" fmla="*/ 16 w 16"/>
                <a:gd name="T5" fmla="*/ 0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6" h="10">
                  <a:moveTo>
                    <a:pt x="0" y="10"/>
                  </a:moveTo>
                  <a:cubicBezTo>
                    <a:pt x="4" y="9"/>
                    <a:pt x="10" y="10"/>
                    <a:pt x="12" y="6"/>
                  </a:cubicBezTo>
                  <a:cubicBezTo>
                    <a:pt x="13" y="4"/>
                    <a:pt x="16" y="0"/>
                    <a:pt x="16" y="0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42" name="Freeform 685"/>
            <xdr:cNvSpPr>
              <a:spLocks noChangeAspect="1"/>
            </xdr:cNvSpPr>
          </xdr:nvSpPr>
          <xdr:spPr bwMode="auto">
            <a:xfrm>
              <a:off x="1144" y="2878"/>
              <a:ext cx="2" cy="20"/>
            </a:xfrm>
            <a:custGeom>
              <a:avLst/>
              <a:gdLst>
                <a:gd name="T0" fmla="*/ 0 w 2"/>
                <a:gd name="T1" fmla="*/ 0 h 20"/>
                <a:gd name="T2" fmla="*/ 2 w 2"/>
                <a:gd name="T3" fmla="*/ 20 h 20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2" h="20">
                  <a:moveTo>
                    <a:pt x="0" y="0"/>
                  </a:moveTo>
                  <a:cubicBezTo>
                    <a:pt x="2" y="17"/>
                    <a:pt x="2" y="11"/>
                    <a:pt x="2" y="20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43" name="Freeform 686"/>
            <xdr:cNvSpPr>
              <a:spLocks noChangeAspect="1"/>
            </xdr:cNvSpPr>
          </xdr:nvSpPr>
          <xdr:spPr bwMode="auto">
            <a:xfrm>
              <a:off x="1710" y="3188"/>
              <a:ext cx="8" cy="26"/>
            </a:xfrm>
            <a:custGeom>
              <a:avLst/>
              <a:gdLst>
                <a:gd name="T0" fmla="*/ 0 w 8"/>
                <a:gd name="T1" fmla="*/ 26 h 26"/>
                <a:gd name="T2" fmla="*/ 8 w 8"/>
                <a:gd name="T3" fmla="*/ 0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8" h="26">
                  <a:moveTo>
                    <a:pt x="0" y="26"/>
                  </a:moveTo>
                  <a:cubicBezTo>
                    <a:pt x="2" y="19"/>
                    <a:pt x="8" y="8"/>
                    <a:pt x="8" y="0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44" name="Freeform 687"/>
            <xdr:cNvSpPr>
              <a:spLocks noChangeAspect="1"/>
            </xdr:cNvSpPr>
          </xdr:nvSpPr>
          <xdr:spPr bwMode="auto">
            <a:xfrm>
              <a:off x="3392" y="3026"/>
              <a:ext cx="8" cy="26"/>
            </a:xfrm>
            <a:custGeom>
              <a:avLst/>
              <a:gdLst>
                <a:gd name="T0" fmla="*/ 0 w 8"/>
                <a:gd name="T1" fmla="*/ 26 h 26"/>
                <a:gd name="T2" fmla="*/ 8 w 8"/>
                <a:gd name="T3" fmla="*/ 0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8" h="26">
                  <a:moveTo>
                    <a:pt x="0" y="26"/>
                  </a:moveTo>
                  <a:cubicBezTo>
                    <a:pt x="8" y="18"/>
                    <a:pt x="8" y="13"/>
                    <a:pt x="8" y="0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45" name="Freeform 688"/>
            <xdr:cNvSpPr>
              <a:spLocks noChangeAspect="1"/>
            </xdr:cNvSpPr>
          </xdr:nvSpPr>
          <xdr:spPr bwMode="auto">
            <a:xfrm>
              <a:off x="3548" y="2880"/>
              <a:ext cx="4" cy="34"/>
            </a:xfrm>
            <a:custGeom>
              <a:avLst/>
              <a:gdLst>
                <a:gd name="T0" fmla="*/ 0 w 4"/>
                <a:gd name="T1" fmla="*/ 34 h 34"/>
                <a:gd name="T2" fmla="*/ 4 w 4"/>
                <a:gd name="T3" fmla="*/ 0 h 34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4" h="34">
                  <a:moveTo>
                    <a:pt x="0" y="34"/>
                  </a:moveTo>
                  <a:cubicBezTo>
                    <a:pt x="4" y="23"/>
                    <a:pt x="4" y="0"/>
                    <a:pt x="4" y="0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46" name="Freeform 689"/>
            <xdr:cNvSpPr>
              <a:spLocks noChangeAspect="1"/>
            </xdr:cNvSpPr>
          </xdr:nvSpPr>
          <xdr:spPr bwMode="auto">
            <a:xfrm>
              <a:off x="3594" y="1969"/>
              <a:ext cx="24" cy="29"/>
            </a:xfrm>
            <a:custGeom>
              <a:avLst/>
              <a:gdLst>
                <a:gd name="T0" fmla="*/ 0 w 24"/>
                <a:gd name="T1" fmla="*/ 3 h 29"/>
                <a:gd name="T2" fmla="*/ 16 w 24"/>
                <a:gd name="T3" fmla="*/ 29 h 2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24" h="29">
                  <a:moveTo>
                    <a:pt x="0" y="3"/>
                  </a:moveTo>
                  <a:cubicBezTo>
                    <a:pt x="24" y="6"/>
                    <a:pt x="16" y="0"/>
                    <a:pt x="16" y="29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47" name="Freeform 690"/>
            <xdr:cNvSpPr>
              <a:spLocks noChangeAspect="1"/>
            </xdr:cNvSpPr>
          </xdr:nvSpPr>
          <xdr:spPr bwMode="auto">
            <a:xfrm>
              <a:off x="3580" y="1730"/>
              <a:ext cx="4" cy="26"/>
            </a:xfrm>
            <a:custGeom>
              <a:avLst/>
              <a:gdLst>
                <a:gd name="T0" fmla="*/ 0 w 4"/>
                <a:gd name="T1" fmla="*/ 0 h 26"/>
                <a:gd name="T2" fmla="*/ 2 w 4"/>
                <a:gd name="T3" fmla="*/ 26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4" h="26">
                  <a:moveTo>
                    <a:pt x="0" y="0"/>
                  </a:moveTo>
                  <a:cubicBezTo>
                    <a:pt x="4" y="12"/>
                    <a:pt x="2" y="4"/>
                    <a:pt x="2" y="26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37" name="Text Box 691"/>
          <xdr:cNvSpPr txBox="1">
            <a:spLocks noChangeArrowheads="1"/>
          </xdr:cNvSpPr>
        </xdr:nvSpPr>
        <xdr:spPr bwMode="auto">
          <a:xfrm>
            <a:off x="839" y="109"/>
            <a:ext cx="160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Wassermenge für den</a:t>
            </a:r>
          </a:p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zu behandelnden Schlag</a:t>
            </a:r>
          </a:p>
        </xdr:txBody>
      </xdr:sp>
    </xdr:grpSp>
    <xdr:clientData/>
  </xdr:twoCellAnchor>
  <xdr:twoCellAnchor editAs="oneCell">
    <xdr:from>
      <xdr:col>8</xdr:col>
      <xdr:colOff>35719</xdr:colOff>
      <xdr:row>13</xdr:row>
      <xdr:rowOff>11905</xdr:rowOff>
    </xdr:from>
    <xdr:to>
      <xdr:col>13</xdr:col>
      <xdr:colOff>78121</xdr:colOff>
      <xdr:row>18</xdr:row>
      <xdr:rowOff>79707</xdr:rowOff>
    </xdr:to>
    <xdr:pic>
      <xdr:nvPicPr>
        <xdr:cNvPr id="398" name="Grafik 397"/>
        <xdr:cNvPicPr>
          <a:picLocks noChangeAspect="1"/>
        </xdr:cNvPicPr>
      </xdr:nvPicPr>
      <xdr:blipFill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6250" y="3095624"/>
          <a:ext cx="2304590" cy="125842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102395</xdr:rowOff>
    </xdr:from>
    <xdr:to>
      <xdr:col>19</xdr:col>
      <xdr:colOff>372686</xdr:colOff>
      <xdr:row>33</xdr:row>
      <xdr:rowOff>145408</xdr:rowOff>
    </xdr:to>
    <xdr:grpSp>
      <xdr:nvGrpSpPr>
        <xdr:cNvPr id="12" name="Gruppieren 11"/>
        <xdr:cNvGrpSpPr/>
      </xdr:nvGrpSpPr>
      <xdr:grpSpPr>
        <a:xfrm>
          <a:off x="0" y="5924551"/>
          <a:ext cx="13338592" cy="1852763"/>
          <a:chOff x="95250" y="3579019"/>
          <a:chExt cx="13338592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338592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02208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02208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02208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6488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39243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71436</xdr:rowOff>
    </xdr:from>
    <xdr:to>
      <xdr:col>3</xdr:col>
      <xdr:colOff>773906</xdr:colOff>
      <xdr:row>19</xdr:row>
      <xdr:rowOff>226217</xdr:rowOff>
    </xdr:to>
    <xdr:sp macro="" textlink="">
      <xdr:nvSpPr>
        <xdr:cNvPr id="10" name="Rahmen 9"/>
        <xdr:cNvSpPr/>
      </xdr:nvSpPr>
      <xdr:spPr>
        <a:xfrm>
          <a:off x="0" y="3631405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642936</xdr:colOff>
      <xdr:row>1</xdr:row>
      <xdr:rowOff>23812</xdr:rowOff>
    </xdr:from>
    <xdr:to>
      <xdr:col>6</xdr:col>
      <xdr:colOff>1297782</xdr:colOff>
      <xdr:row>3</xdr:row>
      <xdr:rowOff>142875</xdr:rowOff>
    </xdr:to>
    <xdr:sp macro="" textlink="">
      <xdr:nvSpPr>
        <xdr:cNvPr id="11" name="Rahmen 10"/>
        <xdr:cNvSpPr/>
      </xdr:nvSpPr>
      <xdr:spPr>
        <a:xfrm>
          <a:off x="4786311" y="250031"/>
          <a:ext cx="2667002" cy="595313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Flachstrahldüsen ohne Injektor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25</xdr:row>
      <xdr:rowOff>90488</xdr:rowOff>
    </xdr:from>
    <xdr:to>
      <xdr:col>19</xdr:col>
      <xdr:colOff>384592</xdr:colOff>
      <xdr:row>33</xdr:row>
      <xdr:rowOff>133501</xdr:rowOff>
    </xdr:to>
    <xdr:grpSp>
      <xdr:nvGrpSpPr>
        <xdr:cNvPr id="10" name="Gruppieren 9"/>
        <xdr:cNvGrpSpPr/>
      </xdr:nvGrpSpPr>
      <xdr:grpSpPr>
        <a:xfrm>
          <a:off x="11906" y="5912644"/>
          <a:ext cx="13338592" cy="1852763"/>
          <a:chOff x="95250" y="3579019"/>
          <a:chExt cx="13338592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338592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95248</xdr:rowOff>
    </xdr:from>
    <xdr:to>
      <xdr:col>3</xdr:col>
      <xdr:colOff>773906</xdr:colOff>
      <xdr:row>20</xdr:row>
      <xdr:rowOff>23810</xdr:rowOff>
    </xdr:to>
    <xdr:sp macro="" textlink="">
      <xdr:nvSpPr>
        <xdr:cNvPr id="11" name="Rahmen 10"/>
        <xdr:cNvSpPr/>
      </xdr:nvSpPr>
      <xdr:spPr>
        <a:xfrm>
          <a:off x="0" y="3655217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71437</xdr:colOff>
      <xdr:row>1</xdr:row>
      <xdr:rowOff>23812</xdr:rowOff>
    </xdr:from>
    <xdr:to>
      <xdr:col>6</xdr:col>
      <xdr:colOff>1273970</xdr:colOff>
      <xdr:row>3</xdr:row>
      <xdr:rowOff>142875</xdr:rowOff>
    </xdr:to>
    <xdr:sp macro="" textlink="">
      <xdr:nvSpPr>
        <xdr:cNvPr id="12" name="Rahmen 11"/>
        <xdr:cNvSpPr/>
      </xdr:nvSpPr>
      <xdr:spPr>
        <a:xfrm>
          <a:off x="4214812" y="250031"/>
          <a:ext cx="3214689" cy="595313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Doppel-Flachstrahldüsen ohne Injektor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31</xdr:row>
      <xdr:rowOff>60059</xdr:rowOff>
    </xdr:from>
    <xdr:to>
      <xdr:col>20</xdr:col>
      <xdr:colOff>63123</xdr:colOff>
      <xdr:row>33</xdr:row>
      <xdr:rowOff>181126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142875" y="7239528"/>
          <a:ext cx="13279061" cy="573504"/>
        </a:xfrm>
        <a:prstGeom prst="foldedCorner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</a:r>
        </a:p>
      </xdr:txBody>
    </xdr:sp>
    <xdr:clientData/>
  </xdr:twoCellAnchor>
  <xdr:twoCellAnchor editAs="oneCell">
    <xdr:from>
      <xdr:col>0</xdr:col>
      <xdr:colOff>202407</xdr:colOff>
      <xdr:row>26</xdr:row>
      <xdr:rowOff>16933</xdr:rowOff>
    </xdr:from>
    <xdr:to>
      <xdr:col>5</xdr:col>
      <xdr:colOff>140882</xdr:colOff>
      <xdr:row>30</xdr:row>
      <xdr:rowOff>211903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07" y="6065308"/>
          <a:ext cx="4843850" cy="1099845"/>
        </a:xfrm>
        <a:prstGeom prst="rect">
          <a:avLst/>
        </a:prstGeom>
      </xdr:spPr>
    </xdr:pic>
    <xdr:clientData/>
  </xdr:twoCellAnchor>
  <xdr:twoCellAnchor editAs="oneCell">
    <xdr:from>
      <xdr:col>6</xdr:col>
      <xdr:colOff>112186</xdr:colOff>
      <xdr:row>25</xdr:row>
      <xdr:rowOff>138113</xdr:rowOff>
    </xdr:from>
    <xdr:to>
      <xdr:col>11</xdr:col>
      <xdr:colOff>139380</xdr:colOff>
      <xdr:row>30</xdr:row>
      <xdr:rowOff>199427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717" y="5960269"/>
          <a:ext cx="4825413" cy="119240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296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88695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88695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88695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43927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15</xdr:row>
      <xdr:rowOff>83342</xdr:rowOff>
    </xdr:from>
    <xdr:to>
      <xdr:col>3</xdr:col>
      <xdr:colOff>773906</xdr:colOff>
      <xdr:row>19</xdr:row>
      <xdr:rowOff>202404</xdr:rowOff>
    </xdr:to>
    <xdr:sp macro="" textlink="">
      <xdr:nvSpPr>
        <xdr:cNvPr id="14" name="Rahmen 13"/>
        <xdr:cNvSpPr/>
      </xdr:nvSpPr>
      <xdr:spPr>
        <a:xfrm>
          <a:off x="0" y="3643311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11906</xdr:colOff>
      <xdr:row>0</xdr:row>
      <xdr:rowOff>119062</xdr:rowOff>
    </xdr:from>
    <xdr:to>
      <xdr:col>12</xdr:col>
      <xdr:colOff>130969</xdr:colOff>
      <xdr:row>2</xdr:row>
      <xdr:rowOff>190499</xdr:rowOff>
    </xdr:to>
    <xdr:sp macro="" textlink="">
      <xdr:nvSpPr>
        <xdr:cNvPr id="15" name="Rahmen 14"/>
        <xdr:cNvSpPr/>
      </xdr:nvSpPr>
      <xdr:spPr>
        <a:xfrm>
          <a:off x="4917281" y="119062"/>
          <a:ext cx="6619876" cy="535781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Randdüsen Lechler (nicht ISO) - gleiche Farbe/Größe wie im Gestänge</a:t>
          </a:r>
        </a:p>
      </xdr:txBody>
    </xdr:sp>
    <xdr:clientData/>
  </xdr:twoCellAnchor>
  <xdr:twoCellAnchor>
    <xdr:from>
      <xdr:col>4</xdr:col>
      <xdr:colOff>738186</xdr:colOff>
      <xdr:row>14</xdr:row>
      <xdr:rowOff>95251</xdr:rowOff>
    </xdr:from>
    <xdr:to>
      <xdr:col>13</xdr:col>
      <xdr:colOff>428625</xdr:colOff>
      <xdr:row>16</xdr:row>
      <xdr:rowOff>166688</xdr:rowOff>
    </xdr:to>
    <xdr:sp macro="" textlink="">
      <xdr:nvSpPr>
        <xdr:cNvPr id="16" name="Rahmen 15"/>
        <xdr:cNvSpPr/>
      </xdr:nvSpPr>
      <xdr:spPr>
        <a:xfrm>
          <a:off x="4881561" y="3417095"/>
          <a:ext cx="7405689" cy="535781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Randdüsen andere (ISO) - Randdüse ist eine Größe kleiner als Düsen im Gestänge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35719</xdr:colOff>
      <xdr:row>25</xdr:row>
      <xdr:rowOff>90488</xdr:rowOff>
    </xdr:from>
    <xdr:to>
      <xdr:col>19</xdr:col>
      <xdr:colOff>408405</xdr:colOff>
      <xdr:row>33</xdr:row>
      <xdr:rowOff>133501</xdr:rowOff>
    </xdr:to>
    <xdr:grpSp>
      <xdr:nvGrpSpPr>
        <xdr:cNvPr id="14" name="Gruppieren 13"/>
        <xdr:cNvGrpSpPr/>
      </xdr:nvGrpSpPr>
      <xdr:grpSpPr>
        <a:xfrm>
          <a:off x="35719" y="5912644"/>
          <a:ext cx="14945936" cy="1852763"/>
          <a:chOff x="142875" y="5960269"/>
          <a:chExt cx="14945936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142875" y="7239528"/>
            <a:ext cx="14945936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2407" y="606530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67717" y="5960269"/>
            <a:ext cx="4825413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391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391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391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9442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3919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3919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13919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94422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59530</xdr:colOff>
      <xdr:row>15</xdr:row>
      <xdr:rowOff>166686</xdr:rowOff>
    </xdr:from>
    <xdr:to>
      <xdr:col>3</xdr:col>
      <xdr:colOff>833436</xdr:colOff>
      <xdr:row>20</xdr:row>
      <xdr:rowOff>95248</xdr:rowOff>
    </xdr:to>
    <xdr:sp macro="" textlink="">
      <xdr:nvSpPr>
        <xdr:cNvPr id="15" name="Rahmen 14"/>
        <xdr:cNvSpPr/>
      </xdr:nvSpPr>
      <xdr:spPr>
        <a:xfrm>
          <a:off x="59530" y="3726655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261936</xdr:colOff>
      <xdr:row>0</xdr:row>
      <xdr:rowOff>47624</xdr:rowOff>
    </xdr:from>
    <xdr:to>
      <xdr:col>7</xdr:col>
      <xdr:colOff>1416843</xdr:colOff>
      <xdr:row>2</xdr:row>
      <xdr:rowOff>202405</xdr:rowOff>
    </xdr:to>
    <xdr:sp macro="" textlink="">
      <xdr:nvSpPr>
        <xdr:cNvPr id="16" name="Rahmen 15"/>
        <xdr:cNvSpPr/>
      </xdr:nvSpPr>
      <xdr:spPr>
        <a:xfrm>
          <a:off x="4405311" y="47624"/>
          <a:ext cx="5167313" cy="619125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Mischbestückung mit 6 x Flachstrahldüse hinter der Spritze bei Doppelflachstrahldüsen wenn es zum anspritzen</a:t>
          </a:r>
          <a:r>
            <a:rPr lang="de-DE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kommt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25</xdr:row>
      <xdr:rowOff>90488</xdr:rowOff>
    </xdr:from>
    <xdr:to>
      <xdr:col>19</xdr:col>
      <xdr:colOff>420310</xdr:colOff>
      <xdr:row>33</xdr:row>
      <xdr:rowOff>133501</xdr:rowOff>
    </xdr:to>
    <xdr:grpSp>
      <xdr:nvGrpSpPr>
        <xdr:cNvPr id="22" name="Gruppieren 21"/>
        <xdr:cNvGrpSpPr/>
      </xdr:nvGrpSpPr>
      <xdr:grpSpPr>
        <a:xfrm>
          <a:off x="47625" y="5912644"/>
          <a:ext cx="13362404" cy="1852763"/>
          <a:chOff x="95250" y="3579019"/>
          <a:chExt cx="13362404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362404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5413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439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86875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86875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86875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86875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1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86875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1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86875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1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86875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1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86875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1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86875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10</xdr:row>
      <xdr:rowOff>0</xdr:rowOff>
    </xdr:from>
    <xdr:ext cx="304800" cy="304800"/>
    <xdr:sp macro="" textlink="">
      <xdr:nvSpPr>
        <xdr:cNvPr id="1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34438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11</xdr:row>
      <xdr:rowOff>0</xdr:rowOff>
    </xdr:from>
    <xdr:ext cx="304800" cy="304800"/>
    <xdr:sp macro="" textlink="">
      <xdr:nvSpPr>
        <xdr:cNvPr id="2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34438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34438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15</xdr:row>
      <xdr:rowOff>47624</xdr:rowOff>
    </xdr:from>
    <xdr:to>
      <xdr:col>3</xdr:col>
      <xdr:colOff>773906</xdr:colOff>
      <xdr:row>19</xdr:row>
      <xdr:rowOff>202405</xdr:rowOff>
    </xdr:to>
    <xdr:sp macro="" textlink="">
      <xdr:nvSpPr>
        <xdr:cNvPr id="23" name="Rahmen 22"/>
        <xdr:cNvSpPr/>
      </xdr:nvSpPr>
      <xdr:spPr>
        <a:xfrm>
          <a:off x="0" y="3607593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23811</xdr:colOff>
      <xdr:row>0</xdr:row>
      <xdr:rowOff>0</xdr:rowOff>
    </xdr:from>
    <xdr:to>
      <xdr:col>6</xdr:col>
      <xdr:colOff>1297780</xdr:colOff>
      <xdr:row>3</xdr:row>
      <xdr:rowOff>154781</xdr:rowOff>
    </xdr:to>
    <xdr:sp macro="" textlink="">
      <xdr:nvSpPr>
        <xdr:cNvPr id="24" name="Rahmen 23"/>
        <xdr:cNvSpPr/>
      </xdr:nvSpPr>
      <xdr:spPr>
        <a:xfrm>
          <a:off x="4167186" y="0"/>
          <a:ext cx="3286125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KURZE Injektor-Flachstrahldüsen</a:t>
          </a:r>
          <a:b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2,0 bis 3,0 bar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35719</xdr:colOff>
      <xdr:row>25</xdr:row>
      <xdr:rowOff>147638</xdr:rowOff>
    </xdr:from>
    <xdr:to>
      <xdr:col>19</xdr:col>
      <xdr:colOff>408404</xdr:colOff>
      <xdr:row>33</xdr:row>
      <xdr:rowOff>152551</xdr:rowOff>
    </xdr:to>
    <xdr:grpSp>
      <xdr:nvGrpSpPr>
        <xdr:cNvPr id="13" name="Gruppieren 12"/>
        <xdr:cNvGrpSpPr/>
      </xdr:nvGrpSpPr>
      <xdr:grpSpPr>
        <a:xfrm>
          <a:off x="35719" y="6029326"/>
          <a:ext cx="13219529" cy="1814663"/>
          <a:chOff x="95250" y="3957638"/>
          <a:chExt cx="12778998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5196415"/>
            <a:ext cx="12778998" cy="575886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4022195"/>
            <a:ext cx="4843850" cy="1102226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3957638"/>
            <a:ext cx="4827794" cy="1190026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439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12" name="Rahmen 11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20</xdr:row>
      <xdr:rowOff>47625</xdr:rowOff>
    </xdr:from>
    <xdr:to>
      <xdr:col>11</xdr:col>
      <xdr:colOff>119062</xdr:colOff>
      <xdr:row>25</xdr:row>
      <xdr:rowOff>-1</xdr:rowOff>
    </xdr:to>
    <xdr:sp macro="" textlink="">
      <xdr:nvSpPr>
        <xdr:cNvPr id="14" name="Rahmen 13"/>
        <xdr:cNvSpPr/>
      </xdr:nvSpPr>
      <xdr:spPr>
        <a:xfrm>
          <a:off x="0" y="4798219"/>
          <a:ext cx="9334500" cy="1083468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(l/ha), die Fahrgeschwindigkeit (km/h), Bandbreite (cm), der Reihenabstand (cm), die Schlaggröße (ha) und die PSM-Menge (l bzw. kg/ha) verändert werden </a:t>
          </a:r>
          <a:b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in den grünen Feldern wird der Anteil berechnet der angesetzt bzw. behandelt werden muss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321468</xdr:colOff>
      <xdr:row>0</xdr:row>
      <xdr:rowOff>0</xdr:rowOff>
    </xdr:from>
    <xdr:to>
      <xdr:col>6</xdr:col>
      <xdr:colOff>881063</xdr:colOff>
      <xdr:row>3</xdr:row>
      <xdr:rowOff>190500</xdr:rowOff>
    </xdr:to>
    <xdr:sp macro="" textlink="">
      <xdr:nvSpPr>
        <xdr:cNvPr id="15" name="Rahmen 14"/>
        <xdr:cNvSpPr/>
      </xdr:nvSpPr>
      <xdr:spPr>
        <a:xfrm>
          <a:off x="4464843" y="0"/>
          <a:ext cx="2714626" cy="89296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Bandspritzdüsen</a:t>
          </a:r>
        </a:p>
      </xdr:txBody>
    </xdr:sp>
    <xdr:clientData/>
  </xdr:twoCellAnchor>
  <xdr:twoCellAnchor>
    <xdr:from>
      <xdr:col>2</xdr:col>
      <xdr:colOff>202407</xdr:colOff>
      <xdr:row>10</xdr:row>
      <xdr:rowOff>142875</xdr:rowOff>
    </xdr:from>
    <xdr:to>
      <xdr:col>4</xdr:col>
      <xdr:colOff>11907</xdr:colOff>
      <xdr:row>14</xdr:row>
      <xdr:rowOff>130969</xdr:rowOff>
    </xdr:to>
    <xdr:sp macro="" textlink="">
      <xdr:nvSpPr>
        <xdr:cNvPr id="16" name="Horizontales Scrollen 15"/>
        <xdr:cNvSpPr/>
      </xdr:nvSpPr>
      <xdr:spPr>
        <a:xfrm>
          <a:off x="2869407" y="2512219"/>
          <a:ext cx="1357313" cy="940594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l/ha auf die ges. Fläche bezogen</a:t>
          </a:r>
        </a:p>
      </xdr:txBody>
    </xdr:sp>
    <xdr:clientData/>
  </xdr:twoCellAnchor>
  <xdr:twoCellAnchor>
    <xdr:from>
      <xdr:col>4</xdr:col>
      <xdr:colOff>23812</xdr:colOff>
      <xdr:row>15</xdr:row>
      <xdr:rowOff>130969</xdr:rowOff>
    </xdr:from>
    <xdr:to>
      <xdr:col>5</xdr:col>
      <xdr:colOff>476250</xdr:colOff>
      <xdr:row>19</xdr:row>
      <xdr:rowOff>119063</xdr:rowOff>
    </xdr:to>
    <xdr:sp macro="" textlink="">
      <xdr:nvSpPr>
        <xdr:cNvPr id="17" name="Horizontales Scrollen 16"/>
        <xdr:cNvSpPr/>
      </xdr:nvSpPr>
      <xdr:spPr>
        <a:xfrm>
          <a:off x="4238625" y="3690938"/>
          <a:ext cx="1357313" cy="940594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l/kg auf das behandelte Band bezogen</a:t>
          </a:r>
        </a:p>
      </xdr:txBody>
    </xdr:sp>
    <xdr:clientData/>
  </xdr:twoCellAnchor>
  <xdr:twoCellAnchor>
    <xdr:from>
      <xdr:col>5</xdr:col>
      <xdr:colOff>702470</xdr:colOff>
      <xdr:row>12</xdr:row>
      <xdr:rowOff>47625</xdr:rowOff>
    </xdr:from>
    <xdr:to>
      <xdr:col>7</xdr:col>
      <xdr:colOff>52389</xdr:colOff>
      <xdr:row>19</xdr:row>
      <xdr:rowOff>57150</xdr:rowOff>
    </xdr:to>
    <xdr:grpSp>
      <xdr:nvGrpSpPr>
        <xdr:cNvPr id="18" name="Group 329"/>
        <xdr:cNvGrpSpPr>
          <a:grpSpLocks/>
        </xdr:cNvGrpSpPr>
      </xdr:nvGrpSpPr>
      <xdr:grpSpPr bwMode="auto">
        <a:xfrm>
          <a:off x="5822158" y="2893219"/>
          <a:ext cx="2076450" cy="1676400"/>
          <a:chOff x="823" y="40"/>
          <a:chExt cx="201" cy="165"/>
        </a:xfrm>
      </xdr:grpSpPr>
      <xdr:grpSp>
        <xdr:nvGrpSpPr>
          <xdr:cNvPr id="19" name="Group 330"/>
          <xdr:cNvGrpSpPr>
            <a:grpSpLocks noChangeAspect="1"/>
          </xdr:cNvGrpSpPr>
        </xdr:nvGrpSpPr>
        <xdr:grpSpPr bwMode="auto">
          <a:xfrm>
            <a:off x="823" y="40"/>
            <a:ext cx="201" cy="165"/>
            <a:chOff x="1080" y="1414"/>
            <a:chExt cx="2538" cy="2084"/>
          </a:xfrm>
        </xdr:grpSpPr>
        <xdr:grpSp>
          <xdr:nvGrpSpPr>
            <xdr:cNvPr id="21" name="Group 331"/>
            <xdr:cNvGrpSpPr>
              <a:grpSpLocks noChangeAspect="1"/>
            </xdr:cNvGrpSpPr>
          </xdr:nvGrpSpPr>
          <xdr:grpSpPr bwMode="auto">
            <a:xfrm>
              <a:off x="1294" y="3229"/>
              <a:ext cx="185" cy="205"/>
              <a:chOff x="2293" y="3490"/>
              <a:chExt cx="65" cy="72"/>
            </a:xfrm>
          </xdr:grpSpPr>
          <xdr:sp macro="" textlink="">
            <xdr:nvSpPr>
              <xdr:cNvPr id="239" name="Freeform 332"/>
              <xdr:cNvSpPr>
                <a:spLocks noChangeAspect="1"/>
              </xdr:cNvSpPr>
            </xdr:nvSpPr>
            <xdr:spPr bwMode="auto">
              <a:xfrm>
                <a:off x="2332" y="3536"/>
                <a:ext cx="5" cy="6"/>
              </a:xfrm>
              <a:custGeom>
                <a:avLst/>
                <a:gdLst>
                  <a:gd name="T0" fmla="*/ 0 w 39"/>
                  <a:gd name="T1" fmla="*/ 1 h 37"/>
                  <a:gd name="T2" fmla="*/ 0 w 39"/>
                  <a:gd name="T3" fmla="*/ 1 h 37"/>
                  <a:gd name="T4" fmla="*/ 1 w 39"/>
                  <a:gd name="T5" fmla="*/ 0 h 37"/>
                  <a:gd name="T6" fmla="*/ 1 w 39"/>
                  <a:gd name="T7" fmla="*/ 0 h 37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9" h="37">
                    <a:moveTo>
                      <a:pt x="0" y="37"/>
                    </a:moveTo>
                    <a:lnTo>
                      <a:pt x="27" y="26"/>
                    </a:lnTo>
                    <a:lnTo>
                      <a:pt x="38" y="0"/>
                    </a:lnTo>
                    <a:lnTo>
                      <a:pt x="3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0" name="Freeform 333"/>
              <xdr:cNvSpPr>
                <a:spLocks noChangeAspect="1"/>
              </xdr:cNvSpPr>
            </xdr:nvSpPr>
            <xdr:spPr bwMode="auto">
              <a:xfrm>
                <a:off x="2327" y="3530"/>
                <a:ext cx="6" cy="7"/>
              </a:xfrm>
              <a:custGeom>
                <a:avLst/>
                <a:gdLst>
                  <a:gd name="T0" fmla="*/ 0 w 48"/>
                  <a:gd name="T1" fmla="*/ 1 h 49"/>
                  <a:gd name="T2" fmla="*/ 1 w 48"/>
                  <a:gd name="T3" fmla="*/ 1 h 49"/>
                  <a:gd name="T4" fmla="*/ 1 w 48"/>
                  <a:gd name="T5" fmla="*/ 0 h 49"/>
                  <a:gd name="T6" fmla="*/ 1 w 48"/>
                  <a:gd name="T7" fmla="*/ 0 h 49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48" h="49">
                    <a:moveTo>
                      <a:pt x="0" y="49"/>
                    </a:moveTo>
                    <a:lnTo>
                      <a:pt x="34" y="35"/>
                    </a:lnTo>
                    <a:lnTo>
                      <a:pt x="47" y="0"/>
                    </a:lnTo>
                    <a:lnTo>
                      <a:pt x="4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1" name="Freeform 334"/>
              <xdr:cNvSpPr>
                <a:spLocks noChangeAspect="1"/>
              </xdr:cNvSpPr>
            </xdr:nvSpPr>
            <xdr:spPr bwMode="auto">
              <a:xfrm>
                <a:off x="2326" y="3557"/>
                <a:ext cx="1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2" name="Freeform 335"/>
              <xdr:cNvSpPr>
                <a:spLocks noChangeAspect="1"/>
              </xdr:cNvSpPr>
            </xdr:nvSpPr>
            <xdr:spPr bwMode="auto">
              <a:xfrm>
                <a:off x="2332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3" name="Freeform 336"/>
              <xdr:cNvSpPr>
                <a:spLocks noChangeAspect="1"/>
              </xdr:cNvSpPr>
            </xdr:nvSpPr>
            <xdr:spPr bwMode="auto">
              <a:xfrm>
                <a:off x="2327" y="3524"/>
                <a:ext cx="0" cy="7"/>
              </a:xfrm>
              <a:custGeom>
                <a:avLst/>
                <a:gdLst>
                  <a:gd name="T0" fmla="*/ 0 w 1"/>
                  <a:gd name="T1" fmla="*/ 1 h 50"/>
                  <a:gd name="T2" fmla="*/ 0 w 1"/>
                  <a:gd name="T3" fmla="*/ 0 h 50"/>
                  <a:gd name="T4" fmla="*/ 1 w 1"/>
                  <a:gd name="T5" fmla="*/ 0 h 5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0">
                    <a:moveTo>
                      <a:pt x="0" y="5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4" name="Freeform 337"/>
              <xdr:cNvSpPr>
                <a:spLocks noChangeAspect="1"/>
              </xdr:cNvSpPr>
            </xdr:nvSpPr>
            <xdr:spPr bwMode="auto">
              <a:xfrm>
                <a:off x="2326" y="3513"/>
                <a:ext cx="1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5" name="Freeform 338"/>
              <xdr:cNvSpPr>
                <a:spLocks noChangeAspect="1"/>
              </xdr:cNvSpPr>
            </xdr:nvSpPr>
            <xdr:spPr bwMode="auto">
              <a:xfrm>
                <a:off x="232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6" name="Freeform 339"/>
              <xdr:cNvSpPr>
                <a:spLocks noChangeAspect="1"/>
              </xdr:cNvSpPr>
            </xdr:nvSpPr>
            <xdr:spPr bwMode="auto">
              <a:xfrm>
                <a:off x="2327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7" name="Freeform 340"/>
              <xdr:cNvSpPr>
                <a:spLocks noChangeAspect="1"/>
              </xdr:cNvSpPr>
            </xdr:nvSpPr>
            <xdr:spPr bwMode="auto">
              <a:xfrm>
                <a:off x="2332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" name="Freeform 341"/>
              <xdr:cNvSpPr>
                <a:spLocks noChangeAspect="1"/>
              </xdr:cNvSpPr>
            </xdr:nvSpPr>
            <xdr:spPr bwMode="auto">
              <a:xfrm>
                <a:off x="2358" y="3510"/>
                <a:ext cx="0" cy="14"/>
              </a:xfrm>
              <a:custGeom>
                <a:avLst/>
                <a:gdLst>
                  <a:gd name="T0" fmla="*/ 0 w 1"/>
                  <a:gd name="T1" fmla="*/ 0 h 97"/>
                  <a:gd name="T2" fmla="*/ 0 w 1"/>
                  <a:gd name="T3" fmla="*/ 2 h 97"/>
                  <a:gd name="T4" fmla="*/ 1 w 1"/>
                  <a:gd name="T5" fmla="*/ 2 h 9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7">
                    <a:moveTo>
                      <a:pt x="0" y="0"/>
                    </a:moveTo>
                    <a:lnTo>
                      <a:pt x="0" y="97"/>
                    </a:lnTo>
                    <a:lnTo>
                      <a:pt x="1" y="9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" name="Freeform 342"/>
              <xdr:cNvSpPr>
                <a:spLocks noChangeAspect="1"/>
              </xdr:cNvSpPr>
            </xdr:nvSpPr>
            <xdr:spPr bwMode="auto">
              <a:xfrm>
                <a:off x="2348" y="3516"/>
                <a:ext cx="1" cy="8"/>
              </a:xfrm>
              <a:custGeom>
                <a:avLst/>
                <a:gdLst>
                  <a:gd name="T0" fmla="*/ 0 w 1"/>
                  <a:gd name="T1" fmla="*/ 0 h 55"/>
                  <a:gd name="T2" fmla="*/ 0 w 1"/>
                  <a:gd name="T3" fmla="*/ 1 h 55"/>
                  <a:gd name="T4" fmla="*/ 1 w 1"/>
                  <a:gd name="T5" fmla="*/ 1 h 5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5">
                    <a:moveTo>
                      <a:pt x="0" y="0"/>
                    </a:moveTo>
                    <a:lnTo>
                      <a:pt x="0" y="55"/>
                    </a:lnTo>
                    <a:lnTo>
                      <a:pt x="1" y="55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0" name="Freeform 343"/>
              <xdr:cNvSpPr>
                <a:spLocks noChangeAspect="1"/>
              </xdr:cNvSpPr>
            </xdr:nvSpPr>
            <xdr:spPr bwMode="auto">
              <a:xfrm>
                <a:off x="2348" y="3519"/>
                <a:ext cx="7" cy="11"/>
              </a:xfrm>
              <a:custGeom>
                <a:avLst/>
                <a:gdLst>
                  <a:gd name="T0" fmla="*/ 0 w 50"/>
                  <a:gd name="T1" fmla="*/ 2 h 77"/>
                  <a:gd name="T2" fmla="*/ 1 w 50"/>
                  <a:gd name="T3" fmla="*/ 0 h 77"/>
                  <a:gd name="T4" fmla="*/ 1 w 50"/>
                  <a:gd name="T5" fmla="*/ 0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0" h="77">
                    <a:moveTo>
                      <a:pt x="0" y="77"/>
                    </a:moveTo>
                    <a:lnTo>
                      <a:pt x="49" y="0"/>
                    </a:lnTo>
                    <a:lnTo>
                      <a:pt x="5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1" name="Freeform 344"/>
              <xdr:cNvSpPr>
                <a:spLocks noChangeAspect="1"/>
              </xdr:cNvSpPr>
            </xdr:nvSpPr>
            <xdr:spPr bwMode="auto">
              <a:xfrm>
                <a:off x="2347" y="3545"/>
                <a:ext cx="2" cy="2"/>
              </a:xfrm>
              <a:custGeom>
                <a:avLst/>
                <a:gdLst>
                  <a:gd name="T0" fmla="*/ 0 w 8"/>
                  <a:gd name="T1" fmla="*/ 0 h 13"/>
                  <a:gd name="T2" fmla="*/ 1 w 8"/>
                  <a:gd name="T3" fmla="*/ 0 h 13"/>
                  <a:gd name="T4" fmla="*/ 1 w 8"/>
                  <a:gd name="T5" fmla="*/ 0 h 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13">
                    <a:moveTo>
                      <a:pt x="0" y="13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2" name="Freeform 345"/>
              <xdr:cNvSpPr>
                <a:spLocks noChangeAspect="1"/>
              </xdr:cNvSpPr>
            </xdr:nvSpPr>
            <xdr:spPr bwMode="auto">
              <a:xfrm>
                <a:off x="2347" y="3547"/>
                <a:ext cx="1" cy="2"/>
              </a:xfrm>
              <a:custGeom>
                <a:avLst/>
                <a:gdLst>
                  <a:gd name="T0" fmla="*/ 0 w 7"/>
                  <a:gd name="T1" fmla="*/ 0 h 14"/>
                  <a:gd name="T2" fmla="*/ 0 w 7"/>
                  <a:gd name="T3" fmla="*/ 0 h 14"/>
                  <a:gd name="T4" fmla="*/ 0 w 7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14">
                    <a:moveTo>
                      <a:pt x="7" y="1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3" name="Freeform 346"/>
              <xdr:cNvSpPr>
                <a:spLocks noChangeAspect="1"/>
              </xdr:cNvSpPr>
            </xdr:nvSpPr>
            <xdr:spPr bwMode="auto">
              <a:xfrm>
                <a:off x="2347" y="3557"/>
                <a:ext cx="1" cy="3"/>
              </a:xfrm>
              <a:custGeom>
                <a:avLst/>
                <a:gdLst>
                  <a:gd name="T0" fmla="*/ 0 w 7"/>
                  <a:gd name="T1" fmla="*/ 0 h 23"/>
                  <a:gd name="T2" fmla="*/ 0 w 7"/>
                  <a:gd name="T3" fmla="*/ 0 h 23"/>
                  <a:gd name="T4" fmla="*/ 0 w 7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23">
                    <a:moveTo>
                      <a:pt x="7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4" name="Freeform 347"/>
              <xdr:cNvSpPr>
                <a:spLocks noChangeAspect="1"/>
              </xdr:cNvSpPr>
            </xdr:nvSpPr>
            <xdr:spPr bwMode="auto">
              <a:xfrm>
                <a:off x="2337" y="3549"/>
                <a:ext cx="11" cy="0"/>
              </a:xfrm>
              <a:custGeom>
                <a:avLst/>
                <a:gdLst>
                  <a:gd name="T0" fmla="*/ 1 w 91"/>
                  <a:gd name="T1" fmla="*/ 0 w 91"/>
                  <a:gd name="T2" fmla="*/ 0 w 91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1">
                    <a:moveTo>
                      <a:pt x="91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5" name="Freeform 348"/>
              <xdr:cNvSpPr>
                <a:spLocks noChangeAspect="1"/>
              </xdr:cNvSpPr>
            </xdr:nvSpPr>
            <xdr:spPr bwMode="auto">
              <a:xfrm>
                <a:off x="2347" y="3524"/>
                <a:ext cx="1" cy="2"/>
              </a:xfrm>
              <a:custGeom>
                <a:avLst/>
                <a:gdLst>
                  <a:gd name="T0" fmla="*/ 0 w 7"/>
                  <a:gd name="T1" fmla="*/ 0 h 14"/>
                  <a:gd name="T2" fmla="*/ 0 w 7"/>
                  <a:gd name="T3" fmla="*/ 0 h 14"/>
                  <a:gd name="T4" fmla="*/ 0 w 7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14">
                    <a:moveTo>
                      <a:pt x="7" y="0"/>
                    </a:moveTo>
                    <a:lnTo>
                      <a:pt x="0" y="14"/>
                    </a:lnTo>
                    <a:lnTo>
                      <a:pt x="1" y="1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6" name="Freeform 349"/>
              <xdr:cNvSpPr>
                <a:spLocks noChangeAspect="1"/>
              </xdr:cNvSpPr>
            </xdr:nvSpPr>
            <xdr:spPr bwMode="auto">
              <a:xfrm>
                <a:off x="2347" y="3526"/>
                <a:ext cx="2" cy="2"/>
              </a:xfrm>
              <a:custGeom>
                <a:avLst/>
                <a:gdLst>
                  <a:gd name="T0" fmla="*/ 0 w 8"/>
                  <a:gd name="T1" fmla="*/ 0 h 13"/>
                  <a:gd name="T2" fmla="*/ 1 w 8"/>
                  <a:gd name="T3" fmla="*/ 0 h 13"/>
                  <a:gd name="T4" fmla="*/ 1 w 8"/>
                  <a:gd name="T5" fmla="*/ 0 h 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13">
                    <a:moveTo>
                      <a:pt x="0" y="0"/>
                    </a:moveTo>
                    <a:lnTo>
                      <a:pt x="7" y="13"/>
                    </a:lnTo>
                    <a:lnTo>
                      <a:pt x="8" y="1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7" name="Freeform 350"/>
              <xdr:cNvSpPr>
                <a:spLocks noChangeAspect="1"/>
              </xdr:cNvSpPr>
            </xdr:nvSpPr>
            <xdr:spPr bwMode="auto">
              <a:xfrm>
                <a:off x="2337" y="3524"/>
                <a:ext cx="11" cy="0"/>
              </a:xfrm>
              <a:custGeom>
                <a:avLst/>
                <a:gdLst>
                  <a:gd name="T0" fmla="*/ 1 w 91"/>
                  <a:gd name="T1" fmla="*/ 0 w 91"/>
                  <a:gd name="T2" fmla="*/ 0 w 91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1">
                    <a:moveTo>
                      <a:pt x="91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8" name="Freeform 351"/>
              <xdr:cNvSpPr>
                <a:spLocks noChangeAspect="1"/>
              </xdr:cNvSpPr>
            </xdr:nvSpPr>
            <xdr:spPr bwMode="auto">
              <a:xfrm>
                <a:off x="2333" y="3525"/>
                <a:ext cx="0" cy="5"/>
              </a:xfrm>
              <a:custGeom>
                <a:avLst/>
                <a:gdLst>
                  <a:gd name="T0" fmla="*/ 0 w 1"/>
                  <a:gd name="T1" fmla="*/ 1 h 31"/>
                  <a:gd name="T2" fmla="*/ 0 w 1"/>
                  <a:gd name="T3" fmla="*/ 0 h 31"/>
                  <a:gd name="T4" fmla="*/ 1 w 1"/>
                  <a:gd name="T5" fmla="*/ 0 h 3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1">
                    <a:moveTo>
                      <a:pt x="0" y="3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9" name="Freeform 352"/>
              <xdr:cNvSpPr>
                <a:spLocks noChangeAspect="1"/>
              </xdr:cNvSpPr>
            </xdr:nvSpPr>
            <xdr:spPr bwMode="auto">
              <a:xfrm>
                <a:off x="2337" y="3524"/>
                <a:ext cx="0" cy="12"/>
              </a:xfrm>
              <a:custGeom>
                <a:avLst/>
                <a:gdLst>
                  <a:gd name="T0" fmla="*/ 0 w 1"/>
                  <a:gd name="T1" fmla="*/ 2 h 89"/>
                  <a:gd name="T2" fmla="*/ 0 w 1"/>
                  <a:gd name="T3" fmla="*/ 0 h 89"/>
                  <a:gd name="T4" fmla="*/ 1 w 1"/>
                  <a:gd name="T5" fmla="*/ 0 h 8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89">
                    <a:moveTo>
                      <a:pt x="0" y="89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0" name="Freeform 353"/>
              <xdr:cNvSpPr>
                <a:spLocks noChangeAspect="1"/>
              </xdr:cNvSpPr>
            </xdr:nvSpPr>
            <xdr:spPr bwMode="auto">
              <a:xfrm>
                <a:off x="2345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1" name="Freeform 354"/>
              <xdr:cNvSpPr>
                <a:spLocks noChangeAspect="1"/>
              </xdr:cNvSpPr>
            </xdr:nvSpPr>
            <xdr:spPr bwMode="auto">
              <a:xfrm>
                <a:off x="2337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2" name="Freeform 355"/>
              <xdr:cNvSpPr>
                <a:spLocks noChangeAspect="1"/>
              </xdr:cNvSpPr>
            </xdr:nvSpPr>
            <xdr:spPr bwMode="auto">
              <a:xfrm>
                <a:off x="2341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3" name="Freeform 356"/>
              <xdr:cNvSpPr>
                <a:spLocks noChangeAspect="1"/>
              </xdr:cNvSpPr>
            </xdr:nvSpPr>
            <xdr:spPr bwMode="auto">
              <a:xfrm>
                <a:off x="2348" y="3528"/>
                <a:ext cx="1" cy="17"/>
              </a:xfrm>
              <a:custGeom>
                <a:avLst/>
                <a:gdLst>
                  <a:gd name="T0" fmla="*/ 0 w 1"/>
                  <a:gd name="T1" fmla="*/ 0 h 120"/>
                  <a:gd name="T2" fmla="*/ 0 w 1"/>
                  <a:gd name="T3" fmla="*/ 2 h 120"/>
                  <a:gd name="T4" fmla="*/ 1 w 1"/>
                  <a:gd name="T5" fmla="*/ 2 h 12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20">
                    <a:moveTo>
                      <a:pt x="0" y="0"/>
                    </a:moveTo>
                    <a:lnTo>
                      <a:pt x="0" y="120"/>
                    </a:lnTo>
                    <a:lnTo>
                      <a:pt x="1" y="12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4" name="Freeform 357"/>
              <xdr:cNvSpPr>
                <a:spLocks noChangeAspect="1"/>
              </xdr:cNvSpPr>
            </xdr:nvSpPr>
            <xdr:spPr bwMode="auto">
              <a:xfrm>
                <a:off x="2350" y="3530"/>
                <a:ext cx="0" cy="13"/>
              </a:xfrm>
              <a:custGeom>
                <a:avLst/>
                <a:gdLst>
                  <a:gd name="T0" fmla="*/ 0 w 1"/>
                  <a:gd name="T1" fmla="*/ 0 h 90"/>
                  <a:gd name="T2" fmla="*/ 0 w 1"/>
                  <a:gd name="T3" fmla="*/ 2 h 90"/>
                  <a:gd name="T4" fmla="*/ 1 w 1"/>
                  <a:gd name="T5" fmla="*/ 2 h 9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0">
                    <a:moveTo>
                      <a:pt x="0" y="0"/>
                    </a:moveTo>
                    <a:lnTo>
                      <a:pt x="0" y="90"/>
                    </a:lnTo>
                    <a:lnTo>
                      <a:pt x="1" y="9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5" name="Freeform 358"/>
              <xdr:cNvSpPr>
                <a:spLocks noChangeAspect="1"/>
              </xdr:cNvSpPr>
            </xdr:nvSpPr>
            <xdr:spPr bwMode="auto">
              <a:xfrm>
                <a:off x="2356" y="3530"/>
                <a:ext cx="0" cy="12"/>
              </a:xfrm>
              <a:custGeom>
                <a:avLst/>
                <a:gdLst>
                  <a:gd name="T0" fmla="*/ 0 w 1"/>
                  <a:gd name="T1" fmla="*/ 0 h 82"/>
                  <a:gd name="T2" fmla="*/ 0 w 1"/>
                  <a:gd name="T3" fmla="*/ 2 h 82"/>
                  <a:gd name="T4" fmla="*/ 1 w 1"/>
                  <a:gd name="T5" fmla="*/ 2 h 8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82">
                    <a:moveTo>
                      <a:pt x="0" y="0"/>
                    </a:moveTo>
                    <a:lnTo>
                      <a:pt x="0" y="82"/>
                    </a:lnTo>
                    <a:lnTo>
                      <a:pt x="1" y="8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6" name="Freeform 359"/>
              <xdr:cNvSpPr>
                <a:spLocks noChangeAspect="1"/>
              </xdr:cNvSpPr>
            </xdr:nvSpPr>
            <xdr:spPr bwMode="auto">
              <a:xfrm>
                <a:off x="2354" y="3562"/>
                <a:ext cx="4" cy="0"/>
              </a:xfrm>
              <a:custGeom>
                <a:avLst/>
                <a:gdLst>
                  <a:gd name="T0" fmla="*/ 0 w 30"/>
                  <a:gd name="T1" fmla="*/ 1 w 30"/>
                  <a:gd name="T2" fmla="*/ 1 w 3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">
                    <a:moveTo>
                      <a:pt x="0" y="0"/>
                    </a:moveTo>
                    <a:lnTo>
                      <a:pt x="29" y="0"/>
                    </a:lnTo>
                    <a:lnTo>
                      <a:pt x="3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7" name="Freeform 360"/>
              <xdr:cNvSpPr>
                <a:spLocks noChangeAspect="1"/>
              </xdr:cNvSpPr>
            </xdr:nvSpPr>
            <xdr:spPr bwMode="auto">
              <a:xfrm>
                <a:off x="2348" y="3542"/>
                <a:ext cx="7" cy="11"/>
              </a:xfrm>
              <a:custGeom>
                <a:avLst/>
                <a:gdLst>
                  <a:gd name="T0" fmla="*/ 0 w 50"/>
                  <a:gd name="T1" fmla="*/ 0 h 77"/>
                  <a:gd name="T2" fmla="*/ 1 w 50"/>
                  <a:gd name="T3" fmla="*/ 2 h 77"/>
                  <a:gd name="T4" fmla="*/ 1 w 50"/>
                  <a:gd name="T5" fmla="*/ 2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0" h="77">
                    <a:moveTo>
                      <a:pt x="0" y="0"/>
                    </a:moveTo>
                    <a:lnTo>
                      <a:pt x="49" y="77"/>
                    </a:lnTo>
                    <a:lnTo>
                      <a:pt x="50" y="7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8" name="Freeform 361"/>
              <xdr:cNvSpPr>
                <a:spLocks noChangeAspect="1"/>
              </xdr:cNvSpPr>
            </xdr:nvSpPr>
            <xdr:spPr bwMode="auto">
              <a:xfrm>
                <a:off x="2348" y="3549"/>
                <a:ext cx="1" cy="8"/>
              </a:xfrm>
              <a:custGeom>
                <a:avLst/>
                <a:gdLst>
                  <a:gd name="T0" fmla="*/ 0 w 1"/>
                  <a:gd name="T1" fmla="*/ 1 h 55"/>
                  <a:gd name="T2" fmla="*/ 0 w 1"/>
                  <a:gd name="T3" fmla="*/ 0 h 55"/>
                  <a:gd name="T4" fmla="*/ 1 w 1"/>
                  <a:gd name="T5" fmla="*/ 0 h 5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5">
                    <a:moveTo>
                      <a:pt x="0" y="5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9" name="Freeform 362"/>
              <xdr:cNvSpPr>
                <a:spLocks noChangeAspect="1"/>
              </xdr:cNvSpPr>
            </xdr:nvSpPr>
            <xdr:spPr bwMode="auto">
              <a:xfrm>
                <a:off x="2354" y="3553"/>
                <a:ext cx="1" cy="9"/>
              </a:xfrm>
              <a:custGeom>
                <a:avLst/>
                <a:gdLst>
                  <a:gd name="T0" fmla="*/ 0 w 1"/>
                  <a:gd name="T1" fmla="*/ 0 h 63"/>
                  <a:gd name="T2" fmla="*/ 0 w 1"/>
                  <a:gd name="T3" fmla="*/ 1 h 63"/>
                  <a:gd name="T4" fmla="*/ 1 w 1"/>
                  <a:gd name="T5" fmla="*/ 1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0"/>
                    </a:moveTo>
                    <a:lnTo>
                      <a:pt x="0" y="63"/>
                    </a:lnTo>
                    <a:lnTo>
                      <a:pt x="1" y="6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0" name="Freeform 363"/>
              <xdr:cNvSpPr>
                <a:spLocks noChangeAspect="1"/>
              </xdr:cNvSpPr>
            </xdr:nvSpPr>
            <xdr:spPr bwMode="auto">
              <a:xfrm>
                <a:off x="2356" y="3542"/>
                <a:ext cx="2" cy="6"/>
              </a:xfrm>
              <a:custGeom>
                <a:avLst/>
                <a:gdLst>
                  <a:gd name="T0" fmla="*/ 0 w 19"/>
                  <a:gd name="T1" fmla="*/ 1 h 43"/>
                  <a:gd name="T2" fmla="*/ 0 w 19"/>
                  <a:gd name="T3" fmla="*/ 0 h 43"/>
                  <a:gd name="T4" fmla="*/ 0 w 19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43">
                    <a:moveTo>
                      <a:pt x="19" y="4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1" name="Freeform 364"/>
              <xdr:cNvSpPr>
                <a:spLocks noChangeAspect="1"/>
              </xdr:cNvSpPr>
            </xdr:nvSpPr>
            <xdr:spPr bwMode="auto">
              <a:xfrm>
                <a:off x="2358" y="3548"/>
                <a:ext cx="0" cy="14"/>
              </a:xfrm>
              <a:custGeom>
                <a:avLst/>
                <a:gdLst>
                  <a:gd name="T0" fmla="*/ 0 w 1"/>
                  <a:gd name="T1" fmla="*/ 2 h 98"/>
                  <a:gd name="T2" fmla="*/ 0 w 1"/>
                  <a:gd name="T3" fmla="*/ 0 h 98"/>
                  <a:gd name="T4" fmla="*/ 1 w 1"/>
                  <a:gd name="T5" fmla="*/ 0 h 9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8">
                    <a:moveTo>
                      <a:pt x="0" y="9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2" name="Freeform 365"/>
              <xdr:cNvSpPr>
                <a:spLocks noChangeAspect="1"/>
              </xdr:cNvSpPr>
            </xdr:nvSpPr>
            <xdr:spPr bwMode="auto">
              <a:xfrm>
                <a:off x="2356" y="3524"/>
                <a:ext cx="2" cy="6"/>
              </a:xfrm>
              <a:custGeom>
                <a:avLst/>
                <a:gdLst>
                  <a:gd name="T0" fmla="*/ 0 w 19"/>
                  <a:gd name="T1" fmla="*/ 0 h 43"/>
                  <a:gd name="T2" fmla="*/ 0 w 19"/>
                  <a:gd name="T3" fmla="*/ 1 h 43"/>
                  <a:gd name="T4" fmla="*/ 0 w 19"/>
                  <a:gd name="T5" fmla="*/ 1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43">
                    <a:moveTo>
                      <a:pt x="19" y="0"/>
                    </a:moveTo>
                    <a:lnTo>
                      <a:pt x="0" y="43"/>
                    </a:lnTo>
                    <a:lnTo>
                      <a:pt x="1" y="4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3" name="Freeform 366"/>
              <xdr:cNvSpPr>
                <a:spLocks noChangeAspect="1"/>
              </xdr:cNvSpPr>
            </xdr:nvSpPr>
            <xdr:spPr bwMode="auto">
              <a:xfrm>
                <a:off x="2347" y="3513"/>
                <a:ext cx="1" cy="3"/>
              </a:xfrm>
              <a:custGeom>
                <a:avLst/>
                <a:gdLst>
                  <a:gd name="T0" fmla="*/ 0 w 7"/>
                  <a:gd name="T1" fmla="*/ 0 h 23"/>
                  <a:gd name="T2" fmla="*/ 0 w 7"/>
                  <a:gd name="T3" fmla="*/ 0 h 23"/>
                  <a:gd name="T4" fmla="*/ 0 w 7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23">
                    <a:moveTo>
                      <a:pt x="7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4" name="Freeform 367"/>
              <xdr:cNvSpPr>
                <a:spLocks noChangeAspect="1"/>
              </xdr:cNvSpPr>
            </xdr:nvSpPr>
            <xdr:spPr bwMode="auto">
              <a:xfrm>
                <a:off x="2335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5" name="Freeform 368"/>
              <xdr:cNvSpPr>
                <a:spLocks noChangeAspect="1"/>
              </xdr:cNvSpPr>
            </xdr:nvSpPr>
            <xdr:spPr bwMode="auto">
              <a:xfrm>
                <a:off x="2345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6" name="Freeform 369"/>
              <xdr:cNvSpPr>
                <a:spLocks noChangeAspect="1"/>
              </xdr:cNvSpPr>
            </xdr:nvSpPr>
            <xdr:spPr bwMode="auto">
              <a:xfrm>
                <a:off x="2341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7" name="Freeform 370"/>
              <xdr:cNvSpPr>
                <a:spLocks noChangeAspect="1"/>
              </xdr:cNvSpPr>
            </xdr:nvSpPr>
            <xdr:spPr bwMode="auto">
              <a:xfrm>
                <a:off x="2337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8" name="Freeform 371"/>
              <xdr:cNvSpPr>
                <a:spLocks noChangeAspect="1"/>
              </xdr:cNvSpPr>
            </xdr:nvSpPr>
            <xdr:spPr bwMode="auto">
              <a:xfrm>
                <a:off x="2348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9" name="Freeform 372"/>
              <xdr:cNvSpPr>
                <a:spLocks noChangeAspect="1"/>
              </xdr:cNvSpPr>
            </xdr:nvSpPr>
            <xdr:spPr bwMode="auto">
              <a:xfrm>
                <a:off x="2344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0" name="Freeform 373"/>
              <xdr:cNvSpPr>
                <a:spLocks noChangeAspect="1"/>
              </xdr:cNvSpPr>
            </xdr:nvSpPr>
            <xdr:spPr bwMode="auto">
              <a:xfrm>
                <a:off x="2345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1" name="Freeform 374"/>
              <xdr:cNvSpPr>
                <a:spLocks noChangeAspect="1"/>
              </xdr:cNvSpPr>
            </xdr:nvSpPr>
            <xdr:spPr bwMode="auto">
              <a:xfrm>
                <a:off x="233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2" name="Freeform 375"/>
              <xdr:cNvSpPr>
                <a:spLocks noChangeAspect="1"/>
              </xdr:cNvSpPr>
            </xdr:nvSpPr>
            <xdr:spPr bwMode="auto">
              <a:xfrm>
                <a:off x="2336" y="3506"/>
                <a:ext cx="1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3" name="Freeform 376"/>
              <xdr:cNvSpPr>
                <a:spLocks noChangeAspect="1"/>
              </xdr:cNvSpPr>
            </xdr:nvSpPr>
            <xdr:spPr bwMode="auto">
              <a:xfrm>
                <a:off x="2342" y="3490"/>
                <a:ext cx="0" cy="6"/>
              </a:xfrm>
              <a:custGeom>
                <a:avLst/>
                <a:gdLst>
                  <a:gd name="T0" fmla="*/ 0 w 2"/>
                  <a:gd name="T1" fmla="*/ 1 h 41"/>
                  <a:gd name="T2" fmla="*/ 0 w 2"/>
                  <a:gd name="T3" fmla="*/ 0 h 41"/>
                  <a:gd name="T4" fmla="*/ 1 w 2"/>
                  <a:gd name="T5" fmla="*/ 0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41">
                    <a:moveTo>
                      <a:pt x="0" y="41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4" name="Freeform 377"/>
              <xdr:cNvSpPr>
                <a:spLocks noChangeAspect="1"/>
              </xdr:cNvSpPr>
            </xdr:nvSpPr>
            <xdr:spPr bwMode="auto">
              <a:xfrm>
                <a:off x="2344" y="3496"/>
                <a:ext cx="0" cy="3"/>
              </a:xfrm>
              <a:custGeom>
                <a:avLst/>
                <a:gdLst>
                  <a:gd name="T0" fmla="*/ 0 w 2"/>
                  <a:gd name="T1" fmla="*/ 0 h 24"/>
                  <a:gd name="T2" fmla="*/ 0 w 2"/>
                  <a:gd name="T3" fmla="*/ 0 h 24"/>
                  <a:gd name="T4" fmla="*/ 1 w 2"/>
                  <a:gd name="T5" fmla="*/ 0 h 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24">
                    <a:moveTo>
                      <a:pt x="0" y="0"/>
                    </a:moveTo>
                    <a:lnTo>
                      <a:pt x="0" y="24"/>
                    </a:lnTo>
                    <a:lnTo>
                      <a:pt x="2" y="2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5" name="Freeform 378"/>
              <xdr:cNvSpPr>
                <a:spLocks noChangeAspect="1"/>
              </xdr:cNvSpPr>
            </xdr:nvSpPr>
            <xdr:spPr bwMode="auto">
              <a:xfrm>
                <a:off x="2354" y="3510"/>
                <a:ext cx="1" cy="9"/>
              </a:xfrm>
              <a:custGeom>
                <a:avLst/>
                <a:gdLst>
                  <a:gd name="T0" fmla="*/ 0 w 1"/>
                  <a:gd name="T1" fmla="*/ 1 h 62"/>
                  <a:gd name="T2" fmla="*/ 0 w 1"/>
                  <a:gd name="T3" fmla="*/ 0 h 62"/>
                  <a:gd name="T4" fmla="*/ 1 w 1"/>
                  <a:gd name="T5" fmla="*/ 0 h 6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2">
                    <a:moveTo>
                      <a:pt x="0" y="6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6" name="Freeform 379"/>
              <xdr:cNvSpPr>
                <a:spLocks noChangeAspect="1"/>
              </xdr:cNvSpPr>
            </xdr:nvSpPr>
            <xdr:spPr bwMode="auto">
              <a:xfrm>
                <a:off x="2354" y="3510"/>
                <a:ext cx="4" cy="0"/>
              </a:xfrm>
              <a:custGeom>
                <a:avLst/>
                <a:gdLst>
                  <a:gd name="T0" fmla="*/ 0 w 30"/>
                  <a:gd name="T1" fmla="*/ 1 w 30"/>
                  <a:gd name="T2" fmla="*/ 1 w 3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">
                    <a:moveTo>
                      <a:pt x="0" y="0"/>
                    </a:moveTo>
                    <a:lnTo>
                      <a:pt x="29" y="0"/>
                    </a:lnTo>
                    <a:lnTo>
                      <a:pt x="3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7" name="Freeform 380"/>
              <xdr:cNvSpPr>
                <a:spLocks noChangeAspect="1"/>
              </xdr:cNvSpPr>
            </xdr:nvSpPr>
            <xdr:spPr bwMode="auto">
              <a:xfrm>
                <a:off x="2351" y="3490"/>
                <a:ext cx="0" cy="6"/>
              </a:xfrm>
              <a:custGeom>
                <a:avLst/>
                <a:gdLst>
                  <a:gd name="T0" fmla="*/ 0 w 1"/>
                  <a:gd name="T1" fmla="*/ 0 h 41"/>
                  <a:gd name="T2" fmla="*/ 0 w 1"/>
                  <a:gd name="T3" fmla="*/ 1 h 41"/>
                  <a:gd name="T4" fmla="*/ 1 w 1"/>
                  <a:gd name="T5" fmla="*/ 1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0"/>
                    </a:moveTo>
                    <a:lnTo>
                      <a:pt x="0" y="41"/>
                    </a:lnTo>
                    <a:lnTo>
                      <a:pt x="1" y="41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8" name="Freeform 381"/>
              <xdr:cNvSpPr>
                <a:spLocks noChangeAspect="1"/>
              </xdr:cNvSpPr>
            </xdr:nvSpPr>
            <xdr:spPr bwMode="auto">
              <a:xfrm>
                <a:off x="2315" y="3516"/>
                <a:ext cx="2" cy="6"/>
              </a:xfrm>
              <a:custGeom>
                <a:avLst/>
                <a:gdLst>
                  <a:gd name="T0" fmla="*/ 0 w 16"/>
                  <a:gd name="T1" fmla="*/ 1 h 39"/>
                  <a:gd name="T2" fmla="*/ 0 w 16"/>
                  <a:gd name="T3" fmla="*/ 0 h 39"/>
                  <a:gd name="T4" fmla="*/ 0 w 16"/>
                  <a:gd name="T5" fmla="*/ 0 h 3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6" h="39">
                    <a:moveTo>
                      <a:pt x="16" y="39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9" name="Freeform 382"/>
              <xdr:cNvSpPr>
                <a:spLocks noChangeAspect="1"/>
              </xdr:cNvSpPr>
            </xdr:nvSpPr>
            <xdr:spPr bwMode="auto">
              <a:xfrm>
                <a:off x="2319" y="3536"/>
                <a:ext cx="5" cy="1"/>
              </a:xfrm>
              <a:custGeom>
                <a:avLst/>
                <a:gdLst>
                  <a:gd name="T0" fmla="*/ 1 w 38"/>
                  <a:gd name="T1" fmla="*/ 0 h 13"/>
                  <a:gd name="T2" fmla="*/ 1 w 38"/>
                  <a:gd name="T3" fmla="*/ 0 h 13"/>
                  <a:gd name="T4" fmla="*/ 0 w 38"/>
                  <a:gd name="T5" fmla="*/ 0 h 13"/>
                  <a:gd name="T6" fmla="*/ 1 w 38"/>
                  <a:gd name="T7" fmla="*/ 0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8" h="13">
                    <a:moveTo>
                      <a:pt x="38" y="0"/>
                    </a:moveTo>
                    <a:lnTo>
                      <a:pt x="38" y="13"/>
                    </a:lnTo>
                    <a:lnTo>
                      <a:pt x="0" y="7"/>
                    </a:lnTo>
                    <a:lnTo>
                      <a:pt x="38" y="0"/>
                    </a:lnTo>
                    <a:close/>
                  </a:path>
                </a:pathLst>
              </a:custGeom>
              <a:solidFill>
                <a:srgbClr val="00000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90" name="Freeform 383"/>
              <xdr:cNvSpPr>
                <a:spLocks noChangeAspect="1"/>
              </xdr:cNvSpPr>
            </xdr:nvSpPr>
            <xdr:spPr bwMode="auto">
              <a:xfrm>
                <a:off x="2319" y="3536"/>
                <a:ext cx="5" cy="1"/>
              </a:xfrm>
              <a:custGeom>
                <a:avLst/>
                <a:gdLst>
                  <a:gd name="T0" fmla="*/ 1 w 38"/>
                  <a:gd name="T1" fmla="*/ 0 h 13"/>
                  <a:gd name="T2" fmla="*/ 1 w 38"/>
                  <a:gd name="T3" fmla="*/ 0 h 13"/>
                  <a:gd name="T4" fmla="*/ 0 w 38"/>
                  <a:gd name="T5" fmla="*/ 0 h 13"/>
                  <a:gd name="T6" fmla="*/ 1 w 38"/>
                  <a:gd name="T7" fmla="*/ 0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8" h="13">
                    <a:moveTo>
                      <a:pt x="38" y="0"/>
                    </a:moveTo>
                    <a:lnTo>
                      <a:pt x="38" y="13"/>
                    </a:lnTo>
                    <a:lnTo>
                      <a:pt x="0" y="7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1" name="Freeform 384"/>
              <xdr:cNvSpPr>
                <a:spLocks noChangeAspect="1"/>
              </xdr:cNvSpPr>
            </xdr:nvSpPr>
            <xdr:spPr bwMode="auto">
              <a:xfrm>
                <a:off x="2295" y="3523"/>
                <a:ext cx="0" cy="27"/>
              </a:xfrm>
              <a:custGeom>
                <a:avLst/>
                <a:gdLst>
                  <a:gd name="T0" fmla="*/ 0 w 1"/>
                  <a:gd name="T1" fmla="*/ 0 h 192"/>
                  <a:gd name="T2" fmla="*/ 0 w 1"/>
                  <a:gd name="T3" fmla="*/ 4 h 192"/>
                  <a:gd name="T4" fmla="*/ 1 w 1"/>
                  <a:gd name="T5" fmla="*/ 4 h 1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2">
                    <a:moveTo>
                      <a:pt x="0" y="0"/>
                    </a:moveTo>
                    <a:lnTo>
                      <a:pt x="0" y="192"/>
                    </a:lnTo>
                    <a:lnTo>
                      <a:pt x="1" y="19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2" name="Freeform 385"/>
              <xdr:cNvSpPr>
                <a:spLocks noChangeAspect="1"/>
              </xdr:cNvSpPr>
            </xdr:nvSpPr>
            <xdr:spPr bwMode="auto">
              <a:xfrm>
                <a:off x="2295" y="3550"/>
                <a:ext cx="17" cy="0"/>
              </a:xfrm>
              <a:custGeom>
                <a:avLst/>
                <a:gdLst>
                  <a:gd name="T0" fmla="*/ 0 w 137"/>
                  <a:gd name="T1" fmla="*/ 2 w 137"/>
                  <a:gd name="T2" fmla="*/ 2 w 13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37">
                    <a:moveTo>
                      <a:pt x="0" y="0"/>
                    </a:moveTo>
                    <a:lnTo>
                      <a:pt x="136" y="0"/>
                    </a:lnTo>
                    <a:lnTo>
                      <a:pt x="1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3" name="Freeform 386"/>
              <xdr:cNvSpPr>
                <a:spLocks noChangeAspect="1"/>
              </xdr:cNvSpPr>
            </xdr:nvSpPr>
            <xdr:spPr bwMode="auto">
              <a:xfrm>
                <a:off x="2293" y="3546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4" name="Freeform 387"/>
              <xdr:cNvSpPr>
                <a:spLocks noChangeAspect="1"/>
              </xdr:cNvSpPr>
            </xdr:nvSpPr>
            <xdr:spPr bwMode="auto">
              <a:xfrm>
                <a:off x="2312" y="3547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5" name="Freeform 388"/>
              <xdr:cNvSpPr>
                <a:spLocks noChangeAspect="1"/>
              </xdr:cNvSpPr>
            </xdr:nvSpPr>
            <xdr:spPr bwMode="auto">
              <a:xfrm>
                <a:off x="2315" y="3551"/>
                <a:ext cx="2" cy="6"/>
              </a:xfrm>
              <a:custGeom>
                <a:avLst/>
                <a:gdLst>
                  <a:gd name="T0" fmla="*/ 0 w 16"/>
                  <a:gd name="T1" fmla="*/ 0 h 38"/>
                  <a:gd name="T2" fmla="*/ 0 w 16"/>
                  <a:gd name="T3" fmla="*/ 1 h 38"/>
                  <a:gd name="T4" fmla="*/ 0 w 16"/>
                  <a:gd name="T5" fmla="*/ 1 h 3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6" h="38">
                    <a:moveTo>
                      <a:pt x="16" y="0"/>
                    </a:moveTo>
                    <a:lnTo>
                      <a:pt x="0" y="38"/>
                    </a:lnTo>
                    <a:lnTo>
                      <a:pt x="1" y="38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6" name="Freeform 389"/>
              <xdr:cNvSpPr>
                <a:spLocks noChangeAspect="1"/>
              </xdr:cNvSpPr>
            </xdr:nvSpPr>
            <xdr:spPr bwMode="auto">
              <a:xfrm>
                <a:off x="2315" y="3547"/>
                <a:ext cx="2" cy="2"/>
              </a:xfrm>
              <a:custGeom>
                <a:avLst/>
                <a:gdLst>
                  <a:gd name="T0" fmla="*/ 0 w 14"/>
                  <a:gd name="T1" fmla="*/ 0 h 14"/>
                  <a:gd name="T2" fmla="*/ 0 w 14"/>
                  <a:gd name="T3" fmla="*/ 0 h 14"/>
                  <a:gd name="T4" fmla="*/ 0 w 14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4" h="14">
                    <a:moveTo>
                      <a:pt x="0" y="0"/>
                    </a:moveTo>
                    <a:lnTo>
                      <a:pt x="13" y="14"/>
                    </a:lnTo>
                    <a:lnTo>
                      <a:pt x="14" y="1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7" name="Freeform 390"/>
              <xdr:cNvSpPr>
                <a:spLocks noChangeAspect="1"/>
              </xdr:cNvSpPr>
            </xdr:nvSpPr>
            <xdr:spPr bwMode="auto">
              <a:xfrm>
                <a:off x="2317" y="3549"/>
                <a:ext cx="0" cy="2"/>
              </a:xfrm>
              <a:custGeom>
                <a:avLst/>
                <a:gdLst>
                  <a:gd name="T0" fmla="*/ 1 w 2"/>
                  <a:gd name="T1" fmla="*/ 0 h 16"/>
                  <a:gd name="T2" fmla="*/ 0 w 2"/>
                  <a:gd name="T3" fmla="*/ 0 h 16"/>
                  <a:gd name="T4" fmla="*/ 1 w 2"/>
                  <a:gd name="T5" fmla="*/ 0 h 1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16">
                    <a:moveTo>
                      <a:pt x="2" y="0"/>
                    </a:moveTo>
                    <a:lnTo>
                      <a:pt x="0" y="16"/>
                    </a:lnTo>
                    <a:lnTo>
                      <a:pt x="1" y="1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8" name="Freeform 391"/>
              <xdr:cNvSpPr>
                <a:spLocks noChangeAspect="1"/>
              </xdr:cNvSpPr>
            </xdr:nvSpPr>
            <xdr:spPr bwMode="auto">
              <a:xfrm>
                <a:off x="2315" y="3557"/>
                <a:ext cx="1" cy="3"/>
              </a:xfrm>
              <a:custGeom>
                <a:avLst/>
                <a:gdLst>
                  <a:gd name="T0" fmla="*/ 0 w 8"/>
                  <a:gd name="T1" fmla="*/ 0 h 23"/>
                  <a:gd name="T2" fmla="*/ 0 w 8"/>
                  <a:gd name="T3" fmla="*/ 0 h 23"/>
                  <a:gd name="T4" fmla="*/ 0 w 8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23">
                    <a:moveTo>
                      <a:pt x="0" y="0"/>
                    </a:moveTo>
                    <a:lnTo>
                      <a:pt x="7" y="23"/>
                    </a:lnTo>
                    <a:lnTo>
                      <a:pt x="8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9" name="Freeform 392"/>
              <xdr:cNvSpPr>
                <a:spLocks noChangeAspect="1"/>
              </xdr:cNvSpPr>
            </xdr:nvSpPr>
            <xdr:spPr bwMode="auto">
              <a:xfrm>
                <a:off x="2319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0" name="Freeform 393"/>
              <xdr:cNvSpPr>
                <a:spLocks noChangeAspect="1"/>
              </xdr:cNvSpPr>
            </xdr:nvSpPr>
            <xdr:spPr bwMode="auto">
              <a:xfrm>
                <a:off x="2295" y="3523"/>
                <a:ext cx="17" cy="0"/>
              </a:xfrm>
              <a:custGeom>
                <a:avLst/>
                <a:gdLst>
                  <a:gd name="T0" fmla="*/ 0 w 137"/>
                  <a:gd name="T1" fmla="*/ 2 w 137"/>
                  <a:gd name="T2" fmla="*/ 2 w 13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37">
                    <a:moveTo>
                      <a:pt x="0" y="0"/>
                    </a:moveTo>
                    <a:lnTo>
                      <a:pt x="136" y="0"/>
                    </a:lnTo>
                    <a:lnTo>
                      <a:pt x="1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1" name="Freeform 394"/>
              <xdr:cNvSpPr>
                <a:spLocks noChangeAspect="1"/>
              </xdr:cNvSpPr>
            </xdr:nvSpPr>
            <xdr:spPr bwMode="auto">
              <a:xfrm>
                <a:off x="2293" y="3527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2" name="Freeform 395"/>
              <xdr:cNvSpPr>
                <a:spLocks noChangeAspect="1"/>
              </xdr:cNvSpPr>
            </xdr:nvSpPr>
            <xdr:spPr bwMode="auto">
              <a:xfrm>
                <a:off x="2312" y="3523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0"/>
                    </a:moveTo>
                    <a:lnTo>
                      <a:pt x="23" y="22"/>
                    </a:lnTo>
                    <a:lnTo>
                      <a:pt x="24" y="2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3" name="Freeform 396"/>
              <xdr:cNvSpPr>
                <a:spLocks noChangeAspect="1"/>
              </xdr:cNvSpPr>
            </xdr:nvSpPr>
            <xdr:spPr bwMode="auto">
              <a:xfrm>
                <a:off x="2315" y="3524"/>
                <a:ext cx="2" cy="2"/>
              </a:xfrm>
              <a:custGeom>
                <a:avLst/>
                <a:gdLst>
                  <a:gd name="T0" fmla="*/ 0 w 14"/>
                  <a:gd name="T1" fmla="*/ 0 h 14"/>
                  <a:gd name="T2" fmla="*/ 0 w 14"/>
                  <a:gd name="T3" fmla="*/ 0 h 14"/>
                  <a:gd name="T4" fmla="*/ 0 w 14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4" h="14">
                    <a:moveTo>
                      <a:pt x="0" y="14"/>
                    </a:moveTo>
                    <a:lnTo>
                      <a:pt x="13" y="0"/>
                    </a:lnTo>
                    <a:lnTo>
                      <a:pt x="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4" name="Freeform 397"/>
              <xdr:cNvSpPr>
                <a:spLocks noChangeAspect="1"/>
              </xdr:cNvSpPr>
            </xdr:nvSpPr>
            <xdr:spPr bwMode="auto">
              <a:xfrm>
                <a:off x="2317" y="3522"/>
                <a:ext cx="0" cy="2"/>
              </a:xfrm>
              <a:custGeom>
                <a:avLst/>
                <a:gdLst>
                  <a:gd name="T0" fmla="*/ 1 w 2"/>
                  <a:gd name="T1" fmla="*/ 0 h 15"/>
                  <a:gd name="T2" fmla="*/ 0 w 2"/>
                  <a:gd name="T3" fmla="*/ 0 h 15"/>
                  <a:gd name="T4" fmla="*/ 1 w 2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15">
                    <a:moveTo>
                      <a:pt x="2" y="1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5" name="Freeform 398"/>
              <xdr:cNvSpPr>
                <a:spLocks noChangeAspect="1"/>
              </xdr:cNvSpPr>
            </xdr:nvSpPr>
            <xdr:spPr bwMode="auto">
              <a:xfrm>
                <a:off x="2323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6" name="Freeform 399"/>
              <xdr:cNvSpPr>
                <a:spLocks noChangeAspect="1"/>
              </xdr:cNvSpPr>
            </xdr:nvSpPr>
            <xdr:spPr bwMode="auto">
              <a:xfrm>
                <a:off x="2315" y="3513"/>
                <a:ext cx="1" cy="3"/>
              </a:xfrm>
              <a:custGeom>
                <a:avLst/>
                <a:gdLst>
                  <a:gd name="T0" fmla="*/ 0 w 8"/>
                  <a:gd name="T1" fmla="*/ 0 h 23"/>
                  <a:gd name="T2" fmla="*/ 0 w 8"/>
                  <a:gd name="T3" fmla="*/ 0 h 23"/>
                  <a:gd name="T4" fmla="*/ 0 w 8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23">
                    <a:moveTo>
                      <a:pt x="0" y="23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7" name="Freeform 400"/>
              <xdr:cNvSpPr>
                <a:spLocks noChangeAspect="1"/>
              </xdr:cNvSpPr>
            </xdr:nvSpPr>
            <xdr:spPr bwMode="auto">
              <a:xfrm>
                <a:off x="2319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8" name="Freeform 401"/>
              <xdr:cNvSpPr>
                <a:spLocks noChangeAspect="1"/>
              </xdr:cNvSpPr>
            </xdr:nvSpPr>
            <xdr:spPr bwMode="auto">
              <a:xfrm>
                <a:off x="2316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9" name="Freeform 402"/>
              <xdr:cNvSpPr>
                <a:spLocks noChangeAspect="1"/>
              </xdr:cNvSpPr>
            </xdr:nvSpPr>
            <xdr:spPr bwMode="auto">
              <a:xfrm>
                <a:off x="231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0" name="Freeform 403"/>
              <xdr:cNvSpPr>
                <a:spLocks noChangeAspect="1"/>
              </xdr:cNvSpPr>
            </xdr:nvSpPr>
            <xdr:spPr bwMode="auto">
              <a:xfrm>
                <a:off x="2319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1" name="Freeform 404"/>
              <xdr:cNvSpPr>
                <a:spLocks noChangeAspect="1"/>
              </xdr:cNvSpPr>
            </xdr:nvSpPr>
            <xdr:spPr bwMode="auto">
              <a:xfrm>
                <a:off x="2313" y="3490"/>
                <a:ext cx="0" cy="6"/>
              </a:xfrm>
              <a:custGeom>
                <a:avLst/>
                <a:gdLst>
                  <a:gd name="T0" fmla="*/ 0 w 1"/>
                  <a:gd name="T1" fmla="*/ 0 h 41"/>
                  <a:gd name="T2" fmla="*/ 0 w 1"/>
                  <a:gd name="T3" fmla="*/ 1 h 41"/>
                  <a:gd name="T4" fmla="*/ 1 w 1"/>
                  <a:gd name="T5" fmla="*/ 1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0"/>
                    </a:moveTo>
                    <a:lnTo>
                      <a:pt x="0" y="41"/>
                    </a:lnTo>
                    <a:lnTo>
                      <a:pt x="1" y="41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2" name="Freeform 405"/>
              <xdr:cNvSpPr>
                <a:spLocks noChangeAspect="1"/>
              </xdr:cNvSpPr>
            </xdr:nvSpPr>
            <xdr:spPr bwMode="auto">
              <a:xfrm>
                <a:off x="2320" y="3496"/>
                <a:ext cx="0" cy="3"/>
              </a:xfrm>
              <a:custGeom>
                <a:avLst/>
                <a:gdLst>
                  <a:gd name="T0" fmla="*/ 0 w 1"/>
                  <a:gd name="T1" fmla="*/ 0 h 24"/>
                  <a:gd name="T2" fmla="*/ 0 w 1"/>
                  <a:gd name="T3" fmla="*/ 0 h 24"/>
                  <a:gd name="T4" fmla="*/ 1 w 1"/>
                  <a:gd name="T5" fmla="*/ 0 h 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4">
                    <a:moveTo>
                      <a:pt x="0" y="0"/>
                    </a:moveTo>
                    <a:lnTo>
                      <a:pt x="0" y="24"/>
                    </a:lnTo>
                    <a:lnTo>
                      <a:pt x="1" y="2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3" name="Freeform 406"/>
              <xdr:cNvSpPr>
                <a:spLocks noChangeAspect="1"/>
              </xdr:cNvSpPr>
            </xdr:nvSpPr>
            <xdr:spPr bwMode="auto">
              <a:xfrm>
                <a:off x="2323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4" name="Freeform 407"/>
              <xdr:cNvSpPr>
                <a:spLocks noChangeAspect="1"/>
              </xdr:cNvSpPr>
            </xdr:nvSpPr>
            <xdr:spPr bwMode="auto">
              <a:xfrm>
                <a:off x="2325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5" name="Freeform 408"/>
              <xdr:cNvSpPr>
                <a:spLocks noChangeAspect="1"/>
              </xdr:cNvSpPr>
            </xdr:nvSpPr>
            <xdr:spPr bwMode="auto">
              <a:xfrm>
                <a:off x="2321" y="3490"/>
                <a:ext cx="0" cy="6"/>
              </a:xfrm>
              <a:custGeom>
                <a:avLst/>
                <a:gdLst>
                  <a:gd name="T0" fmla="*/ 0 w 1"/>
                  <a:gd name="T1" fmla="*/ 1 h 41"/>
                  <a:gd name="T2" fmla="*/ 0 w 1"/>
                  <a:gd name="T3" fmla="*/ 0 h 41"/>
                  <a:gd name="T4" fmla="*/ 1 w 1"/>
                  <a:gd name="T5" fmla="*/ 0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4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6" name="Freeform 409"/>
              <xdr:cNvSpPr>
                <a:spLocks noChangeAspect="1"/>
              </xdr:cNvSpPr>
            </xdr:nvSpPr>
            <xdr:spPr bwMode="auto">
              <a:xfrm>
                <a:off x="2315" y="3557"/>
                <a:ext cx="34" cy="0"/>
              </a:xfrm>
              <a:custGeom>
                <a:avLst/>
                <a:gdLst>
                  <a:gd name="T0" fmla="*/ 0 w 267"/>
                  <a:gd name="T1" fmla="*/ 4 w 267"/>
                  <a:gd name="T2" fmla="*/ 4 w 26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7">
                    <a:moveTo>
                      <a:pt x="0" y="0"/>
                    </a:moveTo>
                    <a:lnTo>
                      <a:pt x="266" y="0"/>
                    </a:lnTo>
                    <a:lnTo>
                      <a:pt x="2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7" name="Freeform 410"/>
              <xdr:cNvSpPr>
                <a:spLocks noChangeAspect="1"/>
              </xdr:cNvSpPr>
            </xdr:nvSpPr>
            <xdr:spPr bwMode="auto">
              <a:xfrm>
                <a:off x="2316" y="3560"/>
                <a:ext cx="32" cy="0"/>
              </a:xfrm>
              <a:custGeom>
                <a:avLst/>
                <a:gdLst>
                  <a:gd name="T0" fmla="*/ 0 w 253"/>
                  <a:gd name="T1" fmla="*/ 4 w 253"/>
                  <a:gd name="T2" fmla="*/ 4 w 2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3">
                    <a:moveTo>
                      <a:pt x="0" y="0"/>
                    </a:moveTo>
                    <a:lnTo>
                      <a:pt x="252" y="0"/>
                    </a:lnTo>
                    <a:lnTo>
                      <a:pt x="2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8" name="Freeform 411"/>
              <xdr:cNvSpPr>
                <a:spLocks noChangeAspect="1"/>
              </xdr:cNvSpPr>
            </xdr:nvSpPr>
            <xdr:spPr bwMode="auto">
              <a:xfrm>
                <a:off x="2320" y="3523"/>
                <a:ext cx="24" cy="27"/>
              </a:xfrm>
              <a:custGeom>
                <a:avLst/>
                <a:gdLst>
                  <a:gd name="T0" fmla="*/ 3 w 196"/>
                  <a:gd name="T1" fmla="*/ 2 h 193"/>
                  <a:gd name="T2" fmla="*/ 3 w 196"/>
                  <a:gd name="T3" fmla="*/ 1 h 193"/>
                  <a:gd name="T4" fmla="*/ 2 w 196"/>
                  <a:gd name="T5" fmla="*/ 0 h 193"/>
                  <a:gd name="T6" fmla="*/ 1 w 196"/>
                  <a:gd name="T7" fmla="*/ 0 h 193"/>
                  <a:gd name="T8" fmla="*/ 1 w 196"/>
                  <a:gd name="T9" fmla="*/ 0 h 193"/>
                  <a:gd name="T10" fmla="*/ 0 w 196"/>
                  <a:gd name="T11" fmla="*/ 1 h 193"/>
                  <a:gd name="T12" fmla="*/ 0 w 196"/>
                  <a:gd name="T13" fmla="*/ 2 h 193"/>
                  <a:gd name="T14" fmla="*/ 0 w 196"/>
                  <a:gd name="T15" fmla="*/ 3 h 193"/>
                  <a:gd name="T16" fmla="*/ 1 w 196"/>
                  <a:gd name="T17" fmla="*/ 3 h 193"/>
                  <a:gd name="T18" fmla="*/ 1 w 196"/>
                  <a:gd name="T19" fmla="*/ 4 h 193"/>
                  <a:gd name="T20" fmla="*/ 2 w 196"/>
                  <a:gd name="T21" fmla="*/ 3 h 193"/>
                  <a:gd name="T22" fmla="*/ 3 w 196"/>
                  <a:gd name="T23" fmla="*/ 3 h 193"/>
                  <a:gd name="T24" fmla="*/ 3 w 196"/>
                  <a:gd name="T25" fmla="*/ 2 h 193"/>
                  <a:gd name="T26" fmla="*/ 3 w 196"/>
                  <a:gd name="T27" fmla="*/ 2 h 193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0" t="0" r="r" b="b"/>
                <a:pathLst>
                  <a:path w="196" h="193">
                    <a:moveTo>
                      <a:pt x="194" y="97"/>
                    </a:moveTo>
                    <a:lnTo>
                      <a:pt x="181" y="48"/>
                    </a:lnTo>
                    <a:lnTo>
                      <a:pt x="146" y="13"/>
                    </a:lnTo>
                    <a:lnTo>
                      <a:pt x="97" y="0"/>
                    </a:lnTo>
                    <a:lnTo>
                      <a:pt x="48" y="13"/>
                    </a:lnTo>
                    <a:lnTo>
                      <a:pt x="13" y="48"/>
                    </a:lnTo>
                    <a:lnTo>
                      <a:pt x="0" y="97"/>
                    </a:lnTo>
                    <a:lnTo>
                      <a:pt x="13" y="145"/>
                    </a:lnTo>
                    <a:lnTo>
                      <a:pt x="48" y="180"/>
                    </a:lnTo>
                    <a:lnTo>
                      <a:pt x="97" y="193"/>
                    </a:lnTo>
                    <a:lnTo>
                      <a:pt x="146" y="180"/>
                    </a:lnTo>
                    <a:lnTo>
                      <a:pt x="181" y="145"/>
                    </a:lnTo>
                    <a:lnTo>
                      <a:pt x="194" y="97"/>
                    </a:lnTo>
                    <a:lnTo>
                      <a:pt x="196" y="9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9" name="Freeform 412"/>
              <xdr:cNvSpPr>
                <a:spLocks noChangeAspect="1"/>
              </xdr:cNvSpPr>
            </xdr:nvSpPr>
            <xdr:spPr bwMode="auto">
              <a:xfrm>
                <a:off x="2322" y="3542"/>
                <a:ext cx="2" cy="2"/>
              </a:xfrm>
              <a:custGeom>
                <a:avLst/>
                <a:gdLst>
                  <a:gd name="T0" fmla="*/ 0 w 21"/>
                  <a:gd name="T1" fmla="*/ 0 h 19"/>
                  <a:gd name="T2" fmla="*/ 0 w 21"/>
                  <a:gd name="T3" fmla="*/ 0 h 19"/>
                  <a:gd name="T4" fmla="*/ 0 w 21"/>
                  <a:gd name="T5" fmla="*/ 0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1" h="19">
                    <a:moveTo>
                      <a:pt x="0" y="19"/>
                    </a:moveTo>
                    <a:lnTo>
                      <a:pt x="19" y="0"/>
                    </a:lnTo>
                    <a:lnTo>
                      <a:pt x="2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0" name="Freeform 413"/>
              <xdr:cNvSpPr>
                <a:spLocks noChangeAspect="1"/>
              </xdr:cNvSpPr>
            </xdr:nvSpPr>
            <xdr:spPr bwMode="auto">
              <a:xfrm>
                <a:off x="2337" y="3525"/>
                <a:ext cx="2" cy="3"/>
              </a:xfrm>
              <a:custGeom>
                <a:avLst/>
                <a:gdLst>
                  <a:gd name="T0" fmla="*/ 0 w 19"/>
                  <a:gd name="T1" fmla="*/ 0 h 19"/>
                  <a:gd name="T2" fmla="*/ 0 w 19"/>
                  <a:gd name="T3" fmla="*/ 0 h 19"/>
                  <a:gd name="T4" fmla="*/ 0 w 19"/>
                  <a:gd name="T5" fmla="*/ 0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19">
                    <a:moveTo>
                      <a:pt x="0" y="19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1" name="Freeform 414"/>
              <xdr:cNvSpPr>
                <a:spLocks noChangeAspect="1"/>
              </xdr:cNvSpPr>
            </xdr:nvSpPr>
            <xdr:spPr bwMode="auto">
              <a:xfrm>
                <a:off x="2322" y="3542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2" name="Freeform 415"/>
              <xdr:cNvSpPr>
                <a:spLocks noChangeAspect="1"/>
              </xdr:cNvSpPr>
            </xdr:nvSpPr>
            <xdr:spPr bwMode="auto">
              <a:xfrm>
                <a:off x="2337" y="3526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3" name="Freeform 416"/>
              <xdr:cNvSpPr>
                <a:spLocks noChangeAspect="1"/>
              </xdr:cNvSpPr>
            </xdr:nvSpPr>
            <xdr:spPr bwMode="auto">
              <a:xfrm>
                <a:off x="2323" y="3542"/>
                <a:ext cx="3" cy="4"/>
              </a:xfrm>
              <a:custGeom>
                <a:avLst/>
                <a:gdLst>
                  <a:gd name="T0" fmla="*/ 0 w 29"/>
                  <a:gd name="T1" fmla="*/ 1 h 27"/>
                  <a:gd name="T2" fmla="*/ 0 w 29"/>
                  <a:gd name="T3" fmla="*/ 0 h 27"/>
                  <a:gd name="T4" fmla="*/ 0 w 29"/>
                  <a:gd name="T5" fmla="*/ 0 h 2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9" h="27">
                    <a:moveTo>
                      <a:pt x="0" y="27"/>
                    </a:move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4" name="Freeform 417"/>
              <xdr:cNvSpPr>
                <a:spLocks noChangeAspect="1"/>
              </xdr:cNvSpPr>
            </xdr:nvSpPr>
            <xdr:spPr bwMode="auto">
              <a:xfrm>
                <a:off x="2337" y="3526"/>
                <a:ext cx="3" cy="4"/>
              </a:xfrm>
              <a:custGeom>
                <a:avLst/>
                <a:gdLst>
                  <a:gd name="T0" fmla="*/ 0 w 27"/>
                  <a:gd name="T1" fmla="*/ 1 h 26"/>
                  <a:gd name="T2" fmla="*/ 0 w 27"/>
                  <a:gd name="T3" fmla="*/ 0 h 26"/>
                  <a:gd name="T4" fmla="*/ 0 w 27"/>
                  <a:gd name="T5" fmla="*/ 0 h 2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7" h="26">
                    <a:moveTo>
                      <a:pt x="0" y="26"/>
                    </a:moveTo>
                    <a:lnTo>
                      <a:pt x="26" y="0"/>
                    </a:lnTo>
                    <a:lnTo>
                      <a:pt x="2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5" name="Freeform 418"/>
              <xdr:cNvSpPr>
                <a:spLocks noChangeAspect="1"/>
              </xdr:cNvSpPr>
            </xdr:nvSpPr>
            <xdr:spPr bwMode="auto">
              <a:xfrm>
                <a:off x="2323" y="3542"/>
                <a:ext cx="4" cy="4"/>
              </a:xfrm>
              <a:custGeom>
                <a:avLst/>
                <a:gdLst>
                  <a:gd name="T0" fmla="*/ 0 w 31"/>
                  <a:gd name="T1" fmla="*/ 1 h 30"/>
                  <a:gd name="T2" fmla="*/ 1 w 31"/>
                  <a:gd name="T3" fmla="*/ 0 h 30"/>
                  <a:gd name="T4" fmla="*/ 1 w 31"/>
                  <a:gd name="T5" fmla="*/ 0 h 3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30">
                    <a:moveTo>
                      <a:pt x="0" y="30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6" name="Freeform 419"/>
              <xdr:cNvSpPr>
                <a:spLocks noChangeAspect="1"/>
              </xdr:cNvSpPr>
            </xdr:nvSpPr>
            <xdr:spPr bwMode="auto">
              <a:xfrm>
                <a:off x="2337" y="3527"/>
                <a:ext cx="4" cy="4"/>
              </a:xfrm>
              <a:custGeom>
                <a:avLst/>
                <a:gdLst>
                  <a:gd name="T0" fmla="*/ 0 w 31"/>
                  <a:gd name="T1" fmla="*/ 1 h 30"/>
                  <a:gd name="T2" fmla="*/ 1 w 31"/>
                  <a:gd name="T3" fmla="*/ 0 h 30"/>
                  <a:gd name="T4" fmla="*/ 1 w 31"/>
                  <a:gd name="T5" fmla="*/ 0 h 3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30">
                    <a:moveTo>
                      <a:pt x="0" y="30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7" name="Freeform 420"/>
              <xdr:cNvSpPr>
                <a:spLocks noChangeAspect="1"/>
              </xdr:cNvSpPr>
            </xdr:nvSpPr>
            <xdr:spPr bwMode="auto">
              <a:xfrm>
                <a:off x="2324" y="3542"/>
                <a:ext cx="4" cy="4"/>
              </a:xfrm>
              <a:custGeom>
                <a:avLst/>
                <a:gdLst>
                  <a:gd name="T0" fmla="*/ 0 w 35"/>
                  <a:gd name="T1" fmla="*/ 0 h 33"/>
                  <a:gd name="T2" fmla="*/ 0 w 35"/>
                  <a:gd name="T3" fmla="*/ 0 h 33"/>
                  <a:gd name="T4" fmla="*/ 0 w 35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5" h="33">
                    <a:moveTo>
                      <a:pt x="0" y="33"/>
                    </a:moveTo>
                    <a:lnTo>
                      <a:pt x="34" y="0"/>
                    </a:lnTo>
                    <a:lnTo>
                      <a:pt x="3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8" name="Freeform 421"/>
              <xdr:cNvSpPr>
                <a:spLocks noChangeAspect="1"/>
              </xdr:cNvSpPr>
            </xdr:nvSpPr>
            <xdr:spPr bwMode="auto">
              <a:xfrm>
                <a:off x="2337" y="3527"/>
                <a:ext cx="4" cy="5"/>
              </a:xfrm>
              <a:custGeom>
                <a:avLst/>
                <a:gdLst>
                  <a:gd name="T0" fmla="*/ 0 w 35"/>
                  <a:gd name="T1" fmla="*/ 1 h 33"/>
                  <a:gd name="T2" fmla="*/ 0 w 35"/>
                  <a:gd name="T3" fmla="*/ 0 h 33"/>
                  <a:gd name="T4" fmla="*/ 0 w 35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5" h="33">
                    <a:moveTo>
                      <a:pt x="0" y="33"/>
                    </a:moveTo>
                    <a:lnTo>
                      <a:pt x="34" y="0"/>
                    </a:lnTo>
                    <a:lnTo>
                      <a:pt x="3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9" name="Freeform 422"/>
              <xdr:cNvSpPr>
                <a:spLocks noChangeAspect="1"/>
              </xdr:cNvSpPr>
            </xdr:nvSpPr>
            <xdr:spPr bwMode="auto">
              <a:xfrm>
                <a:off x="2324" y="3542"/>
                <a:ext cx="5" cy="5"/>
              </a:xfrm>
              <a:custGeom>
                <a:avLst/>
                <a:gdLst>
                  <a:gd name="T0" fmla="*/ 0 w 38"/>
                  <a:gd name="T1" fmla="*/ 1 h 36"/>
                  <a:gd name="T2" fmla="*/ 1 w 38"/>
                  <a:gd name="T3" fmla="*/ 0 h 36"/>
                  <a:gd name="T4" fmla="*/ 1 w 38"/>
                  <a:gd name="T5" fmla="*/ 0 h 3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8" h="36">
                    <a:moveTo>
                      <a:pt x="0" y="36"/>
                    </a:moveTo>
                    <a:lnTo>
                      <a:pt x="37" y="0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0" name="Freeform 423"/>
              <xdr:cNvSpPr>
                <a:spLocks noChangeAspect="1"/>
              </xdr:cNvSpPr>
            </xdr:nvSpPr>
            <xdr:spPr bwMode="auto">
              <a:xfrm>
                <a:off x="2337" y="3528"/>
                <a:ext cx="4" cy="5"/>
              </a:xfrm>
              <a:custGeom>
                <a:avLst/>
                <a:gdLst>
                  <a:gd name="T0" fmla="*/ 0 w 38"/>
                  <a:gd name="T1" fmla="*/ 1 h 36"/>
                  <a:gd name="T2" fmla="*/ 0 w 38"/>
                  <a:gd name="T3" fmla="*/ 0 h 36"/>
                  <a:gd name="T4" fmla="*/ 0 w 38"/>
                  <a:gd name="T5" fmla="*/ 0 h 3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8" h="36">
                    <a:moveTo>
                      <a:pt x="0" y="36"/>
                    </a:moveTo>
                    <a:lnTo>
                      <a:pt x="37" y="0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1" name="Freeform 424"/>
              <xdr:cNvSpPr>
                <a:spLocks noChangeAspect="1"/>
              </xdr:cNvSpPr>
            </xdr:nvSpPr>
            <xdr:spPr bwMode="auto">
              <a:xfrm>
                <a:off x="2325" y="3542"/>
                <a:ext cx="5" cy="5"/>
              </a:xfrm>
              <a:custGeom>
                <a:avLst/>
                <a:gdLst>
                  <a:gd name="T0" fmla="*/ 0 w 41"/>
                  <a:gd name="T1" fmla="*/ 1 h 40"/>
                  <a:gd name="T2" fmla="*/ 1 w 41"/>
                  <a:gd name="T3" fmla="*/ 0 h 40"/>
                  <a:gd name="T4" fmla="*/ 1 w 41"/>
                  <a:gd name="T5" fmla="*/ 0 h 4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1" h="40">
                    <a:moveTo>
                      <a:pt x="0" y="40"/>
                    </a:moveTo>
                    <a:lnTo>
                      <a:pt x="40" y="0"/>
                    </a:lnTo>
                    <a:lnTo>
                      <a:pt x="4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2" name="Freeform 425"/>
              <xdr:cNvSpPr>
                <a:spLocks noChangeAspect="1"/>
              </xdr:cNvSpPr>
            </xdr:nvSpPr>
            <xdr:spPr bwMode="auto">
              <a:xfrm>
                <a:off x="2337" y="3528"/>
                <a:ext cx="5" cy="6"/>
              </a:xfrm>
              <a:custGeom>
                <a:avLst/>
                <a:gdLst>
                  <a:gd name="T0" fmla="*/ 0 w 41"/>
                  <a:gd name="T1" fmla="*/ 1 h 38"/>
                  <a:gd name="T2" fmla="*/ 1 w 41"/>
                  <a:gd name="T3" fmla="*/ 0 h 38"/>
                  <a:gd name="T4" fmla="*/ 1 w 41"/>
                  <a:gd name="T5" fmla="*/ 0 h 3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1" h="38">
                    <a:moveTo>
                      <a:pt x="0" y="38"/>
                    </a:moveTo>
                    <a:lnTo>
                      <a:pt x="40" y="0"/>
                    </a:lnTo>
                    <a:lnTo>
                      <a:pt x="4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3" name="Freeform 426"/>
              <xdr:cNvSpPr>
                <a:spLocks noChangeAspect="1"/>
              </xdr:cNvSpPr>
            </xdr:nvSpPr>
            <xdr:spPr bwMode="auto">
              <a:xfrm>
                <a:off x="2325" y="3542"/>
                <a:ext cx="6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4" name="Freeform 427"/>
              <xdr:cNvSpPr>
                <a:spLocks noChangeAspect="1"/>
              </xdr:cNvSpPr>
            </xdr:nvSpPr>
            <xdr:spPr bwMode="auto">
              <a:xfrm>
                <a:off x="2337" y="3529"/>
                <a:ext cx="5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5" name="Freeform 428"/>
              <xdr:cNvSpPr>
                <a:spLocks noChangeAspect="1"/>
              </xdr:cNvSpPr>
            </xdr:nvSpPr>
            <xdr:spPr bwMode="auto">
              <a:xfrm>
                <a:off x="2326" y="3542"/>
                <a:ext cx="5" cy="6"/>
              </a:xfrm>
              <a:custGeom>
                <a:avLst/>
                <a:gdLst>
                  <a:gd name="T0" fmla="*/ 0 w 47"/>
                  <a:gd name="T1" fmla="*/ 1 h 45"/>
                  <a:gd name="T2" fmla="*/ 1 w 47"/>
                  <a:gd name="T3" fmla="*/ 0 h 45"/>
                  <a:gd name="T4" fmla="*/ 1 w 47"/>
                  <a:gd name="T5" fmla="*/ 0 h 4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7" h="45">
                    <a:moveTo>
                      <a:pt x="0" y="45"/>
                    </a:moveTo>
                    <a:lnTo>
                      <a:pt x="46" y="0"/>
                    </a:lnTo>
                    <a:lnTo>
                      <a:pt x="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6" name="Freeform 429"/>
              <xdr:cNvSpPr>
                <a:spLocks noChangeAspect="1"/>
              </xdr:cNvSpPr>
            </xdr:nvSpPr>
            <xdr:spPr bwMode="auto">
              <a:xfrm>
                <a:off x="2337" y="3529"/>
                <a:ext cx="5" cy="7"/>
              </a:xfrm>
              <a:custGeom>
                <a:avLst/>
                <a:gdLst>
                  <a:gd name="T0" fmla="*/ 0 w 47"/>
                  <a:gd name="T1" fmla="*/ 1 h 46"/>
                  <a:gd name="T2" fmla="*/ 1 w 47"/>
                  <a:gd name="T3" fmla="*/ 0 h 46"/>
                  <a:gd name="T4" fmla="*/ 1 w 47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7" h="46">
                    <a:moveTo>
                      <a:pt x="0" y="46"/>
                    </a:moveTo>
                    <a:lnTo>
                      <a:pt x="45" y="0"/>
                    </a:lnTo>
                    <a:lnTo>
                      <a:pt x="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7" name="Freeform 430"/>
              <xdr:cNvSpPr>
                <a:spLocks noChangeAspect="1"/>
              </xdr:cNvSpPr>
            </xdr:nvSpPr>
            <xdr:spPr bwMode="auto">
              <a:xfrm>
                <a:off x="2326" y="3542"/>
                <a:ext cx="6" cy="7"/>
              </a:xfrm>
              <a:custGeom>
                <a:avLst/>
                <a:gdLst>
                  <a:gd name="T0" fmla="*/ 0 w 49"/>
                  <a:gd name="T1" fmla="*/ 1 h 48"/>
                  <a:gd name="T2" fmla="*/ 1 w 49"/>
                  <a:gd name="T3" fmla="*/ 0 h 48"/>
                  <a:gd name="T4" fmla="*/ 1 w 49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" h="48">
                    <a:moveTo>
                      <a:pt x="0" y="48"/>
                    </a:moveTo>
                    <a:lnTo>
                      <a:pt x="48" y="0"/>
                    </a:lnTo>
                    <a:lnTo>
                      <a:pt x="4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8" name="Freeform 431"/>
              <xdr:cNvSpPr>
                <a:spLocks noChangeAspect="1"/>
              </xdr:cNvSpPr>
            </xdr:nvSpPr>
            <xdr:spPr bwMode="auto">
              <a:xfrm>
                <a:off x="2337" y="3530"/>
                <a:ext cx="6" cy="7"/>
              </a:xfrm>
              <a:custGeom>
                <a:avLst/>
                <a:gdLst>
                  <a:gd name="T0" fmla="*/ 0 w 49"/>
                  <a:gd name="T1" fmla="*/ 1 h 47"/>
                  <a:gd name="T2" fmla="*/ 1 w 49"/>
                  <a:gd name="T3" fmla="*/ 0 h 47"/>
                  <a:gd name="T4" fmla="*/ 1 w 49"/>
                  <a:gd name="T5" fmla="*/ 0 h 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" h="47">
                    <a:moveTo>
                      <a:pt x="0" y="47"/>
                    </a:moveTo>
                    <a:lnTo>
                      <a:pt x="48" y="0"/>
                    </a:lnTo>
                    <a:lnTo>
                      <a:pt x="4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9" name="Freeform 432"/>
              <xdr:cNvSpPr>
                <a:spLocks noChangeAspect="1"/>
              </xdr:cNvSpPr>
            </xdr:nvSpPr>
            <xdr:spPr bwMode="auto">
              <a:xfrm>
                <a:off x="2327" y="3542"/>
                <a:ext cx="7" cy="7"/>
              </a:xfrm>
              <a:custGeom>
                <a:avLst/>
                <a:gdLst>
                  <a:gd name="T0" fmla="*/ 0 w 53"/>
                  <a:gd name="T1" fmla="*/ 1 h 51"/>
                  <a:gd name="T2" fmla="*/ 1 w 53"/>
                  <a:gd name="T3" fmla="*/ 0 h 51"/>
                  <a:gd name="T4" fmla="*/ 1 w 53"/>
                  <a:gd name="T5" fmla="*/ 0 h 5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1">
                    <a:moveTo>
                      <a:pt x="0" y="51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0" name="Freeform 433"/>
              <xdr:cNvSpPr>
                <a:spLocks noChangeAspect="1"/>
              </xdr:cNvSpPr>
            </xdr:nvSpPr>
            <xdr:spPr bwMode="auto">
              <a:xfrm>
                <a:off x="2336" y="3531"/>
                <a:ext cx="7" cy="7"/>
              </a:xfrm>
              <a:custGeom>
                <a:avLst/>
                <a:gdLst>
                  <a:gd name="T0" fmla="*/ 0 w 53"/>
                  <a:gd name="T1" fmla="*/ 1 h 51"/>
                  <a:gd name="T2" fmla="*/ 1 w 53"/>
                  <a:gd name="T3" fmla="*/ 0 h 51"/>
                  <a:gd name="T4" fmla="*/ 1 w 53"/>
                  <a:gd name="T5" fmla="*/ 0 h 5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1">
                    <a:moveTo>
                      <a:pt x="0" y="51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1" name="Freeform 434"/>
              <xdr:cNvSpPr>
                <a:spLocks noChangeAspect="1"/>
              </xdr:cNvSpPr>
            </xdr:nvSpPr>
            <xdr:spPr bwMode="auto">
              <a:xfrm>
                <a:off x="2327" y="3531"/>
                <a:ext cx="16" cy="18"/>
              </a:xfrm>
              <a:custGeom>
                <a:avLst/>
                <a:gdLst>
                  <a:gd name="T0" fmla="*/ 0 w 127"/>
                  <a:gd name="T1" fmla="*/ 3 h 124"/>
                  <a:gd name="T2" fmla="*/ 2 w 127"/>
                  <a:gd name="T3" fmla="*/ 0 h 124"/>
                  <a:gd name="T4" fmla="*/ 2 w 127"/>
                  <a:gd name="T5" fmla="*/ 0 h 1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27" h="124">
                    <a:moveTo>
                      <a:pt x="0" y="124"/>
                    </a:moveTo>
                    <a:lnTo>
                      <a:pt x="126" y="0"/>
                    </a:lnTo>
                    <a:lnTo>
                      <a:pt x="12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2" name="Freeform 435"/>
              <xdr:cNvSpPr>
                <a:spLocks noChangeAspect="1"/>
              </xdr:cNvSpPr>
            </xdr:nvSpPr>
            <xdr:spPr bwMode="auto">
              <a:xfrm>
                <a:off x="2328" y="3532"/>
                <a:ext cx="16" cy="17"/>
              </a:xfrm>
              <a:custGeom>
                <a:avLst/>
                <a:gdLst>
                  <a:gd name="T0" fmla="*/ 0 w 123"/>
                  <a:gd name="T1" fmla="*/ 2 h 119"/>
                  <a:gd name="T2" fmla="*/ 2 w 123"/>
                  <a:gd name="T3" fmla="*/ 0 h 119"/>
                  <a:gd name="T4" fmla="*/ 2 w 123"/>
                  <a:gd name="T5" fmla="*/ 0 h 1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23" h="119">
                    <a:moveTo>
                      <a:pt x="0" y="119"/>
                    </a:moveTo>
                    <a:lnTo>
                      <a:pt x="122" y="0"/>
                    </a:lnTo>
                    <a:lnTo>
                      <a:pt x="12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3" name="Freeform 436"/>
              <xdr:cNvSpPr>
                <a:spLocks noChangeAspect="1"/>
              </xdr:cNvSpPr>
            </xdr:nvSpPr>
            <xdr:spPr bwMode="auto">
              <a:xfrm>
                <a:off x="2329" y="3533"/>
                <a:ext cx="15" cy="17"/>
              </a:xfrm>
              <a:custGeom>
                <a:avLst/>
                <a:gdLst>
                  <a:gd name="T0" fmla="*/ 0 w 119"/>
                  <a:gd name="T1" fmla="*/ 2 h 117"/>
                  <a:gd name="T2" fmla="*/ 2 w 119"/>
                  <a:gd name="T3" fmla="*/ 0 h 117"/>
                  <a:gd name="T4" fmla="*/ 2 w 119"/>
                  <a:gd name="T5" fmla="*/ 0 h 1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9" h="117">
                    <a:moveTo>
                      <a:pt x="0" y="117"/>
                    </a:moveTo>
                    <a:lnTo>
                      <a:pt x="118" y="0"/>
                    </a:lnTo>
                    <a:lnTo>
                      <a:pt x="1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4" name="Freeform 437"/>
              <xdr:cNvSpPr>
                <a:spLocks noChangeAspect="1"/>
              </xdr:cNvSpPr>
            </xdr:nvSpPr>
            <xdr:spPr bwMode="auto">
              <a:xfrm>
                <a:off x="2329" y="3534"/>
                <a:ext cx="15" cy="16"/>
              </a:xfrm>
              <a:custGeom>
                <a:avLst/>
                <a:gdLst>
                  <a:gd name="T0" fmla="*/ 0 w 114"/>
                  <a:gd name="T1" fmla="*/ 2 h 113"/>
                  <a:gd name="T2" fmla="*/ 2 w 114"/>
                  <a:gd name="T3" fmla="*/ 0 h 113"/>
                  <a:gd name="T4" fmla="*/ 2 w 114"/>
                  <a:gd name="T5" fmla="*/ 0 h 1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4" h="113">
                    <a:moveTo>
                      <a:pt x="0" y="113"/>
                    </a:moveTo>
                    <a:lnTo>
                      <a:pt x="113" y="0"/>
                    </a:lnTo>
                    <a:lnTo>
                      <a:pt x="1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5" name="Freeform 438"/>
              <xdr:cNvSpPr>
                <a:spLocks noChangeAspect="1"/>
              </xdr:cNvSpPr>
            </xdr:nvSpPr>
            <xdr:spPr bwMode="auto">
              <a:xfrm>
                <a:off x="2330" y="3535"/>
                <a:ext cx="14" cy="15"/>
              </a:xfrm>
              <a:custGeom>
                <a:avLst/>
                <a:gdLst>
                  <a:gd name="T0" fmla="*/ 0 w 109"/>
                  <a:gd name="T1" fmla="*/ 2 h 107"/>
                  <a:gd name="T2" fmla="*/ 2 w 109"/>
                  <a:gd name="T3" fmla="*/ 0 h 107"/>
                  <a:gd name="T4" fmla="*/ 2 w 109"/>
                  <a:gd name="T5" fmla="*/ 0 h 10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09" h="107">
                    <a:moveTo>
                      <a:pt x="0" y="107"/>
                    </a:moveTo>
                    <a:lnTo>
                      <a:pt x="108" y="0"/>
                    </a:lnTo>
                    <a:lnTo>
                      <a:pt x="10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6" name="Freeform 439"/>
              <xdr:cNvSpPr>
                <a:spLocks noChangeAspect="1"/>
              </xdr:cNvSpPr>
            </xdr:nvSpPr>
            <xdr:spPr bwMode="auto">
              <a:xfrm>
                <a:off x="2331" y="3536"/>
                <a:ext cx="13" cy="14"/>
              </a:xfrm>
              <a:custGeom>
                <a:avLst/>
                <a:gdLst>
                  <a:gd name="T0" fmla="*/ 0 w 104"/>
                  <a:gd name="T1" fmla="*/ 2 h 101"/>
                  <a:gd name="T2" fmla="*/ 2 w 104"/>
                  <a:gd name="T3" fmla="*/ 0 h 101"/>
                  <a:gd name="T4" fmla="*/ 2 w 104"/>
                  <a:gd name="T5" fmla="*/ 0 h 10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04" h="101">
                    <a:moveTo>
                      <a:pt x="0" y="101"/>
                    </a:moveTo>
                    <a:lnTo>
                      <a:pt x="102" y="0"/>
                    </a:lnTo>
                    <a:lnTo>
                      <a:pt x="10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7" name="Freeform 440"/>
              <xdr:cNvSpPr>
                <a:spLocks noChangeAspect="1"/>
              </xdr:cNvSpPr>
            </xdr:nvSpPr>
            <xdr:spPr bwMode="auto">
              <a:xfrm>
                <a:off x="2332" y="3537"/>
                <a:ext cx="12" cy="13"/>
              </a:xfrm>
              <a:custGeom>
                <a:avLst/>
                <a:gdLst>
                  <a:gd name="T0" fmla="*/ 0 w 97"/>
                  <a:gd name="T1" fmla="*/ 2 h 95"/>
                  <a:gd name="T2" fmla="*/ 1 w 97"/>
                  <a:gd name="T3" fmla="*/ 0 h 95"/>
                  <a:gd name="T4" fmla="*/ 1 w 97"/>
                  <a:gd name="T5" fmla="*/ 0 h 9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97" h="95">
                    <a:moveTo>
                      <a:pt x="0" y="95"/>
                    </a:moveTo>
                    <a:lnTo>
                      <a:pt x="95" y="0"/>
                    </a:lnTo>
                    <a:lnTo>
                      <a:pt x="9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8" name="Freeform 441"/>
              <xdr:cNvSpPr>
                <a:spLocks noChangeAspect="1"/>
              </xdr:cNvSpPr>
            </xdr:nvSpPr>
            <xdr:spPr bwMode="auto">
              <a:xfrm>
                <a:off x="2333" y="3538"/>
                <a:ext cx="11" cy="12"/>
              </a:xfrm>
              <a:custGeom>
                <a:avLst/>
                <a:gdLst>
                  <a:gd name="T0" fmla="*/ 0 w 88"/>
                  <a:gd name="T1" fmla="*/ 2 h 87"/>
                  <a:gd name="T2" fmla="*/ 1 w 88"/>
                  <a:gd name="T3" fmla="*/ 0 h 87"/>
                  <a:gd name="T4" fmla="*/ 1 w 88"/>
                  <a:gd name="T5" fmla="*/ 0 h 8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8" h="87">
                    <a:moveTo>
                      <a:pt x="0" y="87"/>
                    </a:moveTo>
                    <a:lnTo>
                      <a:pt x="87" y="0"/>
                    </a:lnTo>
                    <a:lnTo>
                      <a:pt x="8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9" name="Freeform 442"/>
              <xdr:cNvSpPr>
                <a:spLocks noChangeAspect="1"/>
              </xdr:cNvSpPr>
            </xdr:nvSpPr>
            <xdr:spPr bwMode="auto">
              <a:xfrm>
                <a:off x="2334" y="3539"/>
                <a:ext cx="10" cy="11"/>
              </a:xfrm>
              <a:custGeom>
                <a:avLst/>
                <a:gdLst>
                  <a:gd name="T0" fmla="*/ 0 w 79"/>
                  <a:gd name="T1" fmla="*/ 2 h 77"/>
                  <a:gd name="T2" fmla="*/ 1 w 79"/>
                  <a:gd name="T3" fmla="*/ 0 h 77"/>
                  <a:gd name="T4" fmla="*/ 1 w 79"/>
                  <a:gd name="T5" fmla="*/ 0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9" h="77">
                    <a:moveTo>
                      <a:pt x="0" y="77"/>
                    </a:moveTo>
                    <a:lnTo>
                      <a:pt x="78" y="0"/>
                    </a:lnTo>
                    <a:lnTo>
                      <a:pt x="7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0" name="Freeform 443"/>
              <xdr:cNvSpPr>
                <a:spLocks noChangeAspect="1"/>
              </xdr:cNvSpPr>
            </xdr:nvSpPr>
            <xdr:spPr bwMode="auto">
              <a:xfrm>
                <a:off x="2335" y="3540"/>
                <a:ext cx="9" cy="10"/>
              </a:xfrm>
              <a:custGeom>
                <a:avLst/>
                <a:gdLst>
                  <a:gd name="T0" fmla="*/ 0 w 67"/>
                  <a:gd name="T1" fmla="*/ 1 h 67"/>
                  <a:gd name="T2" fmla="*/ 1 w 67"/>
                  <a:gd name="T3" fmla="*/ 0 h 67"/>
                  <a:gd name="T4" fmla="*/ 1 w 67"/>
                  <a:gd name="T5" fmla="*/ 0 h 6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67" h="67">
                    <a:moveTo>
                      <a:pt x="0" y="67"/>
                    </a:moveTo>
                    <a:lnTo>
                      <a:pt x="66" y="0"/>
                    </a:lnTo>
                    <a:lnTo>
                      <a:pt x="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1" name="Freeform 444"/>
              <xdr:cNvSpPr>
                <a:spLocks noChangeAspect="1"/>
              </xdr:cNvSpPr>
            </xdr:nvSpPr>
            <xdr:spPr bwMode="auto">
              <a:xfrm>
                <a:off x="2336" y="3542"/>
                <a:ext cx="7" cy="7"/>
              </a:xfrm>
              <a:custGeom>
                <a:avLst/>
                <a:gdLst>
                  <a:gd name="T0" fmla="*/ 0 w 53"/>
                  <a:gd name="T1" fmla="*/ 1 h 52"/>
                  <a:gd name="T2" fmla="*/ 1 w 53"/>
                  <a:gd name="T3" fmla="*/ 0 h 52"/>
                  <a:gd name="T4" fmla="*/ 1 w 53"/>
                  <a:gd name="T5" fmla="*/ 0 h 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2">
                    <a:moveTo>
                      <a:pt x="0" y="52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2" name="Freeform 445"/>
              <xdr:cNvSpPr>
                <a:spLocks noChangeAspect="1"/>
              </xdr:cNvSpPr>
            </xdr:nvSpPr>
            <xdr:spPr bwMode="auto">
              <a:xfrm>
                <a:off x="2338" y="3544"/>
                <a:ext cx="4" cy="4"/>
              </a:xfrm>
              <a:custGeom>
                <a:avLst/>
                <a:gdLst>
                  <a:gd name="T0" fmla="*/ 0 w 31"/>
                  <a:gd name="T1" fmla="*/ 1 h 29"/>
                  <a:gd name="T2" fmla="*/ 1 w 31"/>
                  <a:gd name="T3" fmla="*/ 0 h 29"/>
                  <a:gd name="T4" fmla="*/ 1 w 31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29">
                    <a:moveTo>
                      <a:pt x="0" y="29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3" name="Freeform 446"/>
              <xdr:cNvSpPr>
                <a:spLocks noChangeAspect="1"/>
              </xdr:cNvSpPr>
            </xdr:nvSpPr>
            <xdr:spPr bwMode="auto">
              <a:xfrm>
                <a:off x="2322" y="3542"/>
                <a:ext cx="1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4" name="Freeform 447"/>
              <xdr:cNvSpPr>
                <a:spLocks noChangeAspect="1"/>
              </xdr:cNvSpPr>
            </xdr:nvSpPr>
            <xdr:spPr bwMode="auto">
              <a:xfrm>
                <a:off x="2337" y="3525"/>
                <a:ext cx="2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5" name="Freeform 448"/>
              <xdr:cNvSpPr>
                <a:spLocks noChangeAspect="1"/>
              </xdr:cNvSpPr>
            </xdr:nvSpPr>
            <xdr:spPr bwMode="auto">
              <a:xfrm>
                <a:off x="2321" y="3542"/>
                <a:ext cx="2" cy="1"/>
              </a:xfrm>
              <a:custGeom>
                <a:avLst/>
                <a:gdLst>
                  <a:gd name="T0" fmla="*/ 0 w 11"/>
                  <a:gd name="T1" fmla="*/ 0 h 11"/>
                  <a:gd name="T2" fmla="*/ 0 w 11"/>
                  <a:gd name="T3" fmla="*/ 0 h 11"/>
                  <a:gd name="T4" fmla="*/ 0 w 1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1">
                    <a:moveTo>
                      <a:pt x="0" y="11"/>
                    </a:moveTo>
                    <a:lnTo>
                      <a:pt x="10" y="0"/>
                    </a:lnTo>
                    <a:lnTo>
                      <a:pt x="1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6" name="Freeform 449"/>
              <xdr:cNvSpPr>
                <a:spLocks noChangeAspect="1"/>
              </xdr:cNvSpPr>
            </xdr:nvSpPr>
            <xdr:spPr bwMode="auto">
              <a:xfrm>
                <a:off x="2337" y="3524"/>
                <a:ext cx="1" cy="2"/>
              </a:xfrm>
              <a:custGeom>
                <a:avLst/>
                <a:gdLst>
                  <a:gd name="T0" fmla="*/ 0 w 11"/>
                  <a:gd name="T1" fmla="*/ 0 h 10"/>
                  <a:gd name="T2" fmla="*/ 0 w 11"/>
                  <a:gd name="T3" fmla="*/ 0 h 10"/>
                  <a:gd name="T4" fmla="*/ 0 w 11"/>
                  <a:gd name="T5" fmla="*/ 0 h 1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0">
                    <a:moveTo>
                      <a:pt x="0" y="10"/>
                    </a:moveTo>
                    <a:lnTo>
                      <a:pt x="10" y="0"/>
                    </a:lnTo>
                    <a:lnTo>
                      <a:pt x="1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7" name="Freeform 450"/>
              <xdr:cNvSpPr>
                <a:spLocks noChangeAspect="1"/>
              </xdr:cNvSpPr>
            </xdr:nvSpPr>
            <xdr:spPr bwMode="auto">
              <a:xfrm>
                <a:off x="2321" y="3542"/>
                <a:ext cx="1" cy="1"/>
              </a:xfrm>
              <a:custGeom>
                <a:avLst/>
                <a:gdLst>
                  <a:gd name="T0" fmla="*/ 0 w 7"/>
                  <a:gd name="T1" fmla="*/ 0 h 6"/>
                  <a:gd name="T2" fmla="*/ 0 w 7"/>
                  <a:gd name="T3" fmla="*/ 0 h 6"/>
                  <a:gd name="T4" fmla="*/ 0 w 7"/>
                  <a:gd name="T5" fmla="*/ 0 h 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6">
                    <a:moveTo>
                      <a:pt x="0" y="6"/>
                    </a:moveTo>
                    <a:lnTo>
                      <a:pt x="6" y="0"/>
                    </a:lnTo>
                    <a:lnTo>
                      <a:pt x="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8" name="Freeform 451"/>
              <xdr:cNvSpPr>
                <a:spLocks noChangeAspect="1"/>
              </xdr:cNvSpPr>
            </xdr:nvSpPr>
            <xdr:spPr bwMode="auto">
              <a:xfrm>
                <a:off x="2337" y="3524"/>
                <a:ext cx="0" cy="1"/>
              </a:xfrm>
              <a:custGeom>
                <a:avLst/>
                <a:gdLst>
                  <a:gd name="T0" fmla="*/ 0 w 6"/>
                  <a:gd name="T1" fmla="*/ 0 h 6"/>
                  <a:gd name="T2" fmla="*/ 0 w 6"/>
                  <a:gd name="T3" fmla="*/ 0 h 6"/>
                  <a:gd name="T4" fmla="*/ 0 w 6"/>
                  <a:gd name="T5" fmla="*/ 0 h 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6" h="6">
                    <a:moveTo>
                      <a:pt x="0" y="6"/>
                    </a:moveTo>
                    <a:lnTo>
                      <a:pt x="5" y="0"/>
                    </a:lnTo>
                    <a:lnTo>
                      <a:pt x="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9" name="Freeform 452"/>
              <xdr:cNvSpPr>
                <a:spLocks noChangeAspect="1"/>
              </xdr:cNvSpPr>
            </xdr:nvSpPr>
            <xdr:spPr bwMode="auto">
              <a:xfrm>
                <a:off x="2321" y="3542"/>
                <a:ext cx="0" cy="0"/>
              </a:xfrm>
              <a:custGeom>
                <a:avLst/>
                <a:gdLst>
                  <a:gd name="T0" fmla="*/ 0 w 1"/>
                  <a:gd name="T1" fmla="*/ 1 h 1"/>
                  <a:gd name="T2" fmla="*/ 0 w 1"/>
                  <a:gd name="T3" fmla="*/ 0 h 1"/>
                  <a:gd name="T4" fmla="*/ 1 w 1"/>
                  <a:gd name="T5" fmla="*/ 0 h 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">
                    <a:moveTo>
                      <a:pt x="0" y="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0" name="Freeform 453"/>
              <xdr:cNvSpPr>
                <a:spLocks noChangeAspect="1"/>
              </xdr:cNvSpPr>
            </xdr:nvSpPr>
            <xdr:spPr bwMode="auto">
              <a:xfrm>
                <a:off x="2337" y="3524"/>
                <a:ext cx="0" cy="0"/>
              </a:xfrm>
              <a:custGeom>
                <a:avLst/>
                <a:gdLst>
                  <a:gd name="T0" fmla="*/ 0 w 1"/>
                  <a:gd name="T1" fmla="*/ 1 h 1"/>
                  <a:gd name="T2" fmla="*/ 0 w 1"/>
                  <a:gd name="T3" fmla="*/ 0 h 1"/>
                  <a:gd name="T4" fmla="*/ 1 w 1"/>
                  <a:gd name="T5" fmla="*/ 0 h 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">
                    <a:moveTo>
                      <a:pt x="0" y="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1" name="Line 454"/>
              <xdr:cNvSpPr>
                <a:spLocks noChangeAspect="1" noChangeShapeType="1"/>
              </xdr:cNvSpPr>
            </xdr:nvSpPr>
            <xdr:spPr bwMode="auto">
              <a:xfrm>
                <a:off x="2327" y="3531"/>
                <a:ext cx="0" cy="0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62" name="Freeform 455"/>
              <xdr:cNvSpPr>
                <a:spLocks noChangeAspect="1"/>
              </xdr:cNvSpPr>
            </xdr:nvSpPr>
            <xdr:spPr bwMode="auto">
              <a:xfrm>
                <a:off x="2326" y="3530"/>
                <a:ext cx="1" cy="1"/>
              </a:xfrm>
              <a:custGeom>
                <a:avLst/>
                <a:gdLst>
                  <a:gd name="T0" fmla="*/ 0 w 9"/>
                  <a:gd name="T1" fmla="*/ 0 h 7"/>
                  <a:gd name="T2" fmla="*/ 0 w 9"/>
                  <a:gd name="T3" fmla="*/ 0 h 7"/>
                  <a:gd name="T4" fmla="*/ 0 w 9"/>
                  <a:gd name="T5" fmla="*/ 0 h 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9" h="7">
                    <a:moveTo>
                      <a:pt x="0" y="7"/>
                    </a:moveTo>
                    <a:lnTo>
                      <a:pt x="8" y="0"/>
                    </a:lnTo>
                    <a:lnTo>
                      <a:pt x="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3" name="Freeform 456"/>
              <xdr:cNvSpPr>
                <a:spLocks noChangeAspect="1"/>
              </xdr:cNvSpPr>
            </xdr:nvSpPr>
            <xdr:spPr bwMode="auto">
              <a:xfrm>
                <a:off x="2325" y="3529"/>
                <a:ext cx="2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4" name="Freeform 457"/>
              <xdr:cNvSpPr>
                <a:spLocks noChangeAspect="1"/>
              </xdr:cNvSpPr>
            </xdr:nvSpPr>
            <xdr:spPr bwMode="auto">
              <a:xfrm>
                <a:off x="2324" y="3528"/>
                <a:ext cx="3" cy="3"/>
              </a:xfrm>
              <a:custGeom>
                <a:avLst/>
                <a:gdLst>
                  <a:gd name="T0" fmla="*/ 0 w 23"/>
                  <a:gd name="T1" fmla="*/ 0 h 21"/>
                  <a:gd name="T2" fmla="*/ 0 w 23"/>
                  <a:gd name="T3" fmla="*/ 0 h 21"/>
                  <a:gd name="T4" fmla="*/ 0 w 23"/>
                  <a:gd name="T5" fmla="*/ 0 h 2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3" h="21">
                    <a:moveTo>
                      <a:pt x="0" y="21"/>
                    </a:moveTo>
                    <a:lnTo>
                      <a:pt x="22" y="0"/>
                    </a:lnTo>
                    <a:lnTo>
                      <a:pt x="2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5" name="Freeform 458"/>
              <xdr:cNvSpPr>
                <a:spLocks noChangeAspect="1"/>
              </xdr:cNvSpPr>
            </xdr:nvSpPr>
            <xdr:spPr bwMode="auto">
              <a:xfrm>
                <a:off x="2323" y="3527"/>
                <a:ext cx="4" cy="4"/>
              </a:xfrm>
              <a:custGeom>
                <a:avLst/>
                <a:gdLst>
                  <a:gd name="T0" fmla="*/ 0 w 29"/>
                  <a:gd name="T1" fmla="*/ 1 h 29"/>
                  <a:gd name="T2" fmla="*/ 1 w 29"/>
                  <a:gd name="T3" fmla="*/ 0 h 29"/>
                  <a:gd name="T4" fmla="*/ 1 w 29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9" h="29">
                    <a:moveTo>
                      <a:pt x="0" y="29"/>
                    </a:move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6" name="Freeform 459"/>
              <xdr:cNvSpPr>
                <a:spLocks noChangeAspect="1"/>
              </xdr:cNvSpPr>
            </xdr:nvSpPr>
            <xdr:spPr bwMode="auto">
              <a:xfrm>
                <a:off x="2322" y="3526"/>
                <a:ext cx="5" cy="5"/>
              </a:xfrm>
              <a:custGeom>
                <a:avLst/>
                <a:gdLst>
                  <a:gd name="T0" fmla="*/ 0 w 37"/>
                  <a:gd name="T1" fmla="*/ 1 h 35"/>
                  <a:gd name="T2" fmla="*/ 1 w 37"/>
                  <a:gd name="T3" fmla="*/ 0 h 35"/>
                  <a:gd name="T4" fmla="*/ 1 w 37"/>
                  <a:gd name="T5" fmla="*/ 0 h 3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7" h="35">
                    <a:moveTo>
                      <a:pt x="0" y="35"/>
                    </a:moveTo>
                    <a:lnTo>
                      <a:pt x="36" y="0"/>
                    </a:lnTo>
                    <a:lnTo>
                      <a:pt x="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7" name="Freeform 460"/>
              <xdr:cNvSpPr>
                <a:spLocks noChangeAspect="1"/>
              </xdr:cNvSpPr>
            </xdr:nvSpPr>
            <xdr:spPr bwMode="auto">
              <a:xfrm>
                <a:off x="2322" y="3525"/>
                <a:ext cx="5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8" name="Freeform 461"/>
              <xdr:cNvSpPr>
                <a:spLocks noChangeAspect="1"/>
              </xdr:cNvSpPr>
            </xdr:nvSpPr>
            <xdr:spPr bwMode="auto">
              <a:xfrm>
                <a:off x="2321" y="3524"/>
                <a:ext cx="6" cy="7"/>
              </a:xfrm>
              <a:custGeom>
                <a:avLst/>
                <a:gdLst>
                  <a:gd name="T0" fmla="*/ 0 w 51"/>
                  <a:gd name="T1" fmla="*/ 1 h 49"/>
                  <a:gd name="T2" fmla="*/ 1 w 51"/>
                  <a:gd name="T3" fmla="*/ 0 h 49"/>
                  <a:gd name="T4" fmla="*/ 1 w 51"/>
                  <a:gd name="T5" fmla="*/ 0 h 4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1" h="49">
                    <a:moveTo>
                      <a:pt x="0" y="49"/>
                    </a:moveTo>
                    <a:lnTo>
                      <a:pt x="50" y="0"/>
                    </a:lnTo>
                    <a:lnTo>
                      <a:pt x="5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9" name="Freeform 462"/>
              <xdr:cNvSpPr>
                <a:spLocks noChangeAspect="1"/>
              </xdr:cNvSpPr>
            </xdr:nvSpPr>
            <xdr:spPr bwMode="auto">
              <a:xfrm>
                <a:off x="2321" y="3525"/>
                <a:ext cx="4" cy="4"/>
              </a:xfrm>
              <a:custGeom>
                <a:avLst/>
                <a:gdLst>
                  <a:gd name="T0" fmla="*/ 0 w 31"/>
                  <a:gd name="T1" fmla="*/ 1 h 29"/>
                  <a:gd name="T2" fmla="*/ 1 w 31"/>
                  <a:gd name="T3" fmla="*/ 0 h 29"/>
                  <a:gd name="T4" fmla="*/ 1 w 31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29">
                    <a:moveTo>
                      <a:pt x="0" y="29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0" name="Freeform 463"/>
              <xdr:cNvSpPr>
                <a:spLocks noChangeAspect="1"/>
              </xdr:cNvSpPr>
            </xdr:nvSpPr>
            <xdr:spPr bwMode="auto">
              <a:xfrm>
                <a:off x="2315" y="3516"/>
                <a:ext cx="34" cy="0"/>
              </a:xfrm>
              <a:custGeom>
                <a:avLst/>
                <a:gdLst>
                  <a:gd name="T0" fmla="*/ 0 w 267"/>
                  <a:gd name="T1" fmla="*/ 4 w 267"/>
                  <a:gd name="T2" fmla="*/ 4 w 26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7">
                    <a:moveTo>
                      <a:pt x="0" y="0"/>
                    </a:moveTo>
                    <a:lnTo>
                      <a:pt x="266" y="0"/>
                    </a:lnTo>
                    <a:lnTo>
                      <a:pt x="2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1" name="Freeform 464"/>
              <xdr:cNvSpPr>
                <a:spLocks noChangeAspect="1"/>
              </xdr:cNvSpPr>
            </xdr:nvSpPr>
            <xdr:spPr bwMode="auto">
              <a:xfrm>
                <a:off x="2313" y="3496"/>
                <a:ext cx="38" cy="0"/>
              </a:xfrm>
              <a:custGeom>
                <a:avLst/>
                <a:gdLst>
                  <a:gd name="T0" fmla="*/ 0 w 309"/>
                  <a:gd name="T1" fmla="*/ 5 w 309"/>
                  <a:gd name="T2" fmla="*/ 5 w 30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9">
                    <a:moveTo>
                      <a:pt x="0" y="0"/>
                    </a:moveTo>
                    <a:lnTo>
                      <a:pt x="308" y="0"/>
                    </a:lnTo>
                    <a:lnTo>
                      <a:pt x="30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2" name="Freeform 465"/>
              <xdr:cNvSpPr>
                <a:spLocks noChangeAspect="1"/>
              </xdr:cNvSpPr>
            </xdr:nvSpPr>
            <xdr:spPr bwMode="auto">
              <a:xfrm>
                <a:off x="2316" y="3513"/>
                <a:ext cx="32" cy="0"/>
              </a:xfrm>
              <a:custGeom>
                <a:avLst/>
                <a:gdLst>
                  <a:gd name="T0" fmla="*/ 0 w 253"/>
                  <a:gd name="T1" fmla="*/ 4 w 253"/>
                  <a:gd name="T2" fmla="*/ 4 w 2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3">
                    <a:moveTo>
                      <a:pt x="0" y="0"/>
                    </a:moveTo>
                    <a:lnTo>
                      <a:pt x="252" y="0"/>
                    </a:lnTo>
                    <a:lnTo>
                      <a:pt x="2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3" name="Freeform 466"/>
              <xdr:cNvSpPr>
                <a:spLocks noChangeAspect="1"/>
              </xdr:cNvSpPr>
            </xdr:nvSpPr>
            <xdr:spPr bwMode="auto">
              <a:xfrm>
                <a:off x="2316" y="3499"/>
                <a:ext cx="32" cy="0"/>
              </a:xfrm>
              <a:custGeom>
                <a:avLst/>
                <a:gdLst>
                  <a:gd name="T0" fmla="*/ 4 w 256"/>
                  <a:gd name="T1" fmla="*/ 0 w 256"/>
                  <a:gd name="T2" fmla="*/ 0 w 2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6">
                    <a:moveTo>
                      <a:pt x="25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4" name="Freeform 467"/>
              <xdr:cNvSpPr>
                <a:spLocks noChangeAspect="1"/>
              </xdr:cNvSpPr>
            </xdr:nvSpPr>
            <xdr:spPr bwMode="auto">
              <a:xfrm>
                <a:off x="2316" y="3506"/>
                <a:ext cx="32" cy="0"/>
              </a:xfrm>
              <a:custGeom>
                <a:avLst/>
                <a:gdLst>
                  <a:gd name="T0" fmla="*/ 4 w 256"/>
                  <a:gd name="T1" fmla="*/ 0 w 256"/>
                  <a:gd name="T2" fmla="*/ 0 w 2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6">
                    <a:moveTo>
                      <a:pt x="25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5" name="Freeform 468"/>
              <xdr:cNvSpPr>
                <a:spLocks noChangeAspect="1"/>
              </xdr:cNvSpPr>
            </xdr:nvSpPr>
            <xdr:spPr bwMode="auto">
              <a:xfrm>
                <a:off x="2320" y="3499"/>
                <a:ext cx="24" cy="0"/>
              </a:xfrm>
              <a:custGeom>
                <a:avLst/>
                <a:gdLst>
                  <a:gd name="T0" fmla="*/ 0 w 196"/>
                  <a:gd name="T1" fmla="*/ 3 w 196"/>
                  <a:gd name="T2" fmla="*/ 3 w 19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6">
                    <a:moveTo>
                      <a:pt x="0" y="0"/>
                    </a:moveTo>
                    <a:lnTo>
                      <a:pt x="194" y="0"/>
                    </a:lnTo>
                    <a:lnTo>
                      <a:pt x="19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6" name="Freeform 469"/>
              <xdr:cNvSpPr>
                <a:spLocks noChangeAspect="1"/>
              </xdr:cNvSpPr>
            </xdr:nvSpPr>
            <xdr:spPr bwMode="auto">
              <a:xfrm>
                <a:off x="2317" y="3549"/>
                <a:ext cx="10" cy="0"/>
              </a:xfrm>
              <a:custGeom>
                <a:avLst/>
                <a:gdLst>
                  <a:gd name="T0" fmla="*/ 0 w 83"/>
                  <a:gd name="T1" fmla="*/ 1 w 83"/>
                  <a:gd name="T2" fmla="*/ 1 w 8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3">
                    <a:moveTo>
                      <a:pt x="0" y="0"/>
                    </a:moveTo>
                    <a:lnTo>
                      <a:pt x="82" y="0"/>
                    </a:lnTo>
                    <a:lnTo>
                      <a:pt x="8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7" name="Freeform 470"/>
              <xdr:cNvSpPr>
                <a:spLocks noChangeAspect="1"/>
              </xdr:cNvSpPr>
            </xdr:nvSpPr>
            <xdr:spPr bwMode="auto">
              <a:xfrm>
                <a:off x="2317" y="3524"/>
                <a:ext cx="10" cy="0"/>
              </a:xfrm>
              <a:custGeom>
                <a:avLst/>
                <a:gdLst>
                  <a:gd name="T0" fmla="*/ 0 w 83"/>
                  <a:gd name="T1" fmla="*/ 1 w 83"/>
                  <a:gd name="T2" fmla="*/ 1 w 8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3">
                    <a:moveTo>
                      <a:pt x="0" y="0"/>
                    </a:moveTo>
                    <a:lnTo>
                      <a:pt x="82" y="0"/>
                    </a:lnTo>
                    <a:lnTo>
                      <a:pt x="8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8" name="Freeform 471"/>
              <xdr:cNvSpPr>
                <a:spLocks noChangeAspect="1"/>
              </xdr:cNvSpPr>
            </xdr:nvSpPr>
            <xdr:spPr bwMode="auto">
              <a:xfrm>
                <a:off x="2321" y="3542"/>
                <a:ext cx="11" cy="0"/>
              </a:xfrm>
              <a:custGeom>
                <a:avLst/>
                <a:gdLst>
                  <a:gd name="T0" fmla="*/ 0 w 92"/>
                  <a:gd name="T1" fmla="*/ 1 w 92"/>
                  <a:gd name="T2" fmla="*/ 1 w 92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2">
                    <a:moveTo>
                      <a:pt x="0" y="0"/>
                    </a:moveTo>
                    <a:lnTo>
                      <a:pt x="91" y="0"/>
                    </a:lnTo>
                    <a:lnTo>
                      <a:pt x="9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9" name="Freeform 472"/>
              <xdr:cNvSpPr>
                <a:spLocks noChangeAspect="1"/>
              </xdr:cNvSpPr>
            </xdr:nvSpPr>
            <xdr:spPr bwMode="auto">
              <a:xfrm>
                <a:off x="2324" y="3537"/>
                <a:ext cx="3" cy="0"/>
              </a:xfrm>
              <a:custGeom>
                <a:avLst/>
                <a:gdLst>
                  <a:gd name="T0" fmla="*/ 0 w 24"/>
                  <a:gd name="T1" fmla="*/ 0 w 24"/>
                  <a:gd name="T2" fmla="*/ 0 w 2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">
                    <a:moveTo>
                      <a:pt x="0" y="0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0" name="Freeform 473"/>
              <xdr:cNvSpPr>
                <a:spLocks noChangeAspect="1"/>
              </xdr:cNvSpPr>
            </xdr:nvSpPr>
            <xdr:spPr bwMode="auto">
              <a:xfrm>
                <a:off x="2321" y="3531"/>
                <a:ext cx="6" cy="0"/>
              </a:xfrm>
              <a:custGeom>
                <a:avLst/>
                <a:gdLst>
                  <a:gd name="T0" fmla="*/ 0 w 52"/>
                  <a:gd name="T1" fmla="*/ 1 w 52"/>
                  <a:gd name="T2" fmla="*/ 1 w 52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2">
                    <a:moveTo>
                      <a:pt x="0" y="0"/>
                    </a:moveTo>
                    <a:lnTo>
                      <a:pt x="51" y="0"/>
                    </a:lnTo>
                    <a:lnTo>
                      <a:pt x="5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22" name="Group 474"/>
            <xdr:cNvGrpSpPr>
              <a:grpSpLocks noChangeAspect="1"/>
            </xdr:cNvGrpSpPr>
          </xdr:nvGrpSpPr>
          <xdr:grpSpPr bwMode="auto">
            <a:xfrm>
              <a:off x="1376" y="1627"/>
              <a:ext cx="421" cy="320"/>
              <a:chOff x="2322" y="2929"/>
              <a:chExt cx="147" cy="112"/>
            </a:xfrm>
          </xdr:grpSpPr>
          <xdr:sp macro="" textlink="">
            <xdr:nvSpPr>
              <xdr:cNvPr id="221" name="Freeform 475"/>
              <xdr:cNvSpPr>
                <a:spLocks noChangeAspect="1"/>
              </xdr:cNvSpPr>
            </xdr:nvSpPr>
            <xdr:spPr bwMode="auto">
              <a:xfrm>
                <a:off x="2464" y="2937"/>
                <a:ext cx="2" cy="0"/>
              </a:xfrm>
              <a:custGeom>
                <a:avLst/>
                <a:gdLst>
                  <a:gd name="T0" fmla="*/ 0 w 17"/>
                  <a:gd name="T1" fmla="*/ 0 w 17"/>
                  <a:gd name="T2" fmla="*/ 0 w 1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7">
                    <a:moveTo>
                      <a:pt x="0" y="0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2" name="Freeform 476"/>
              <xdr:cNvSpPr>
                <a:spLocks noChangeAspect="1"/>
              </xdr:cNvSpPr>
            </xdr:nvSpPr>
            <xdr:spPr bwMode="auto">
              <a:xfrm>
                <a:off x="2419" y="2943"/>
                <a:ext cx="44" cy="0"/>
              </a:xfrm>
              <a:custGeom>
                <a:avLst/>
                <a:gdLst>
                  <a:gd name="T0" fmla="*/ 0 w 356"/>
                  <a:gd name="T1" fmla="*/ 5 w 356"/>
                  <a:gd name="T2" fmla="*/ 5 w 3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56">
                    <a:moveTo>
                      <a:pt x="0" y="0"/>
                    </a:moveTo>
                    <a:lnTo>
                      <a:pt x="355" y="0"/>
                    </a:lnTo>
                    <a:lnTo>
                      <a:pt x="35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3" name="Freeform 477"/>
              <xdr:cNvSpPr>
                <a:spLocks noChangeAspect="1"/>
              </xdr:cNvSpPr>
            </xdr:nvSpPr>
            <xdr:spPr bwMode="auto">
              <a:xfrm>
                <a:off x="2395" y="3020"/>
                <a:ext cx="62" cy="21"/>
              </a:xfrm>
              <a:custGeom>
                <a:avLst/>
                <a:gdLst>
                  <a:gd name="T0" fmla="*/ 8 w 493"/>
                  <a:gd name="T1" fmla="*/ 0 h 147"/>
                  <a:gd name="T2" fmla="*/ 0 w 493"/>
                  <a:gd name="T3" fmla="*/ 3 h 147"/>
                  <a:gd name="T4" fmla="*/ 0 w 493"/>
                  <a:gd name="T5" fmla="*/ 3 h 1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3" h="147">
                    <a:moveTo>
                      <a:pt x="493" y="0"/>
                    </a:moveTo>
                    <a:lnTo>
                      <a:pt x="0" y="147"/>
                    </a:lnTo>
                    <a:lnTo>
                      <a:pt x="1" y="14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4" name="Freeform 478"/>
              <xdr:cNvSpPr>
                <a:spLocks noChangeAspect="1"/>
              </xdr:cNvSpPr>
            </xdr:nvSpPr>
            <xdr:spPr bwMode="auto">
              <a:xfrm>
                <a:off x="2419" y="3018"/>
                <a:ext cx="39" cy="0"/>
              </a:xfrm>
              <a:custGeom>
                <a:avLst/>
                <a:gdLst>
                  <a:gd name="T0" fmla="*/ 0 w 310"/>
                  <a:gd name="T1" fmla="*/ 5 w 310"/>
                  <a:gd name="T2" fmla="*/ 5 w 31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10">
                    <a:moveTo>
                      <a:pt x="0" y="0"/>
                    </a:moveTo>
                    <a:lnTo>
                      <a:pt x="309" y="0"/>
                    </a:lnTo>
                    <a:lnTo>
                      <a:pt x="31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5" name="Freeform 479"/>
              <xdr:cNvSpPr>
                <a:spLocks noChangeAspect="1"/>
              </xdr:cNvSpPr>
            </xdr:nvSpPr>
            <xdr:spPr bwMode="auto">
              <a:xfrm>
                <a:off x="2415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6" name="Freeform 480"/>
              <xdr:cNvSpPr>
                <a:spLocks noChangeAspect="1"/>
              </xdr:cNvSpPr>
            </xdr:nvSpPr>
            <xdr:spPr bwMode="auto">
              <a:xfrm>
                <a:off x="2419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7" name="Freeform 481"/>
              <xdr:cNvSpPr>
                <a:spLocks noChangeAspect="1"/>
              </xdr:cNvSpPr>
            </xdr:nvSpPr>
            <xdr:spPr bwMode="auto">
              <a:xfrm>
                <a:off x="2457" y="2929"/>
                <a:ext cx="7" cy="93"/>
              </a:xfrm>
              <a:custGeom>
                <a:avLst/>
                <a:gdLst>
                  <a:gd name="T0" fmla="*/ 1 w 58"/>
                  <a:gd name="T1" fmla="*/ 0 h 652"/>
                  <a:gd name="T2" fmla="*/ 0 w 58"/>
                  <a:gd name="T3" fmla="*/ 13 h 652"/>
                  <a:gd name="T4" fmla="*/ 0 w 58"/>
                  <a:gd name="T5" fmla="*/ 13 h 6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8" h="652">
                    <a:moveTo>
                      <a:pt x="58" y="0"/>
                    </a:moveTo>
                    <a:lnTo>
                      <a:pt x="0" y="652"/>
                    </a:lnTo>
                    <a:lnTo>
                      <a:pt x="1" y="65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8" name="Freeform 482"/>
              <xdr:cNvSpPr>
                <a:spLocks noChangeAspect="1"/>
              </xdr:cNvSpPr>
            </xdr:nvSpPr>
            <xdr:spPr bwMode="auto">
              <a:xfrm>
                <a:off x="2328" y="2943"/>
                <a:ext cx="44" cy="0"/>
              </a:xfrm>
              <a:custGeom>
                <a:avLst/>
                <a:gdLst>
                  <a:gd name="T0" fmla="*/ 5 w 355"/>
                  <a:gd name="T1" fmla="*/ 0 w 355"/>
                  <a:gd name="T2" fmla="*/ 0 w 355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55">
                    <a:moveTo>
                      <a:pt x="355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9" name="Freeform 483"/>
              <xdr:cNvSpPr>
                <a:spLocks noChangeAspect="1"/>
              </xdr:cNvSpPr>
            </xdr:nvSpPr>
            <xdr:spPr bwMode="auto">
              <a:xfrm>
                <a:off x="2334" y="3018"/>
                <a:ext cx="38" cy="0"/>
              </a:xfrm>
              <a:custGeom>
                <a:avLst/>
                <a:gdLst>
                  <a:gd name="T0" fmla="*/ 5 w 309"/>
                  <a:gd name="T1" fmla="*/ 0 w 309"/>
                  <a:gd name="T2" fmla="*/ 0 w 30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9">
                    <a:moveTo>
                      <a:pt x="309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0" name="Freeform 484"/>
              <xdr:cNvSpPr>
                <a:spLocks noChangeAspect="1"/>
              </xdr:cNvSpPr>
            </xdr:nvSpPr>
            <xdr:spPr bwMode="auto">
              <a:xfrm>
                <a:off x="2327" y="2929"/>
                <a:ext cx="7" cy="93"/>
              </a:xfrm>
              <a:custGeom>
                <a:avLst/>
                <a:gdLst>
                  <a:gd name="T0" fmla="*/ 0 w 59"/>
                  <a:gd name="T1" fmla="*/ 0 h 652"/>
                  <a:gd name="T2" fmla="*/ 1 w 59"/>
                  <a:gd name="T3" fmla="*/ 13 h 652"/>
                  <a:gd name="T4" fmla="*/ 1 w 59"/>
                  <a:gd name="T5" fmla="*/ 13 h 6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9" h="652">
                    <a:moveTo>
                      <a:pt x="0" y="0"/>
                    </a:moveTo>
                    <a:lnTo>
                      <a:pt x="58" y="652"/>
                    </a:lnTo>
                    <a:lnTo>
                      <a:pt x="59" y="65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1" name="Freeform 485"/>
              <xdr:cNvSpPr>
                <a:spLocks noChangeAspect="1"/>
              </xdr:cNvSpPr>
            </xdr:nvSpPr>
            <xdr:spPr bwMode="auto">
              <a:xfrm>
                <a:off x="2376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2" name="Freeform 486"/>
              <xdr:cNvSpPr>
                <a:spLocks noChangeAspect="1"/>
              </xdr:cNvSpPr>
            </xdr:nvSpPr>
            <xdr:spPr bwMode="auto">
              <a:xfrm>
                <a:off x="2372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3" name="Freeform 487"/>
              <xdr:cNvSpPr>
                <a:spLocks noChangeAspect="1"/>
              </xdr:cNvSpPr>
            </xdr:nvSpPr>
            <xdr:spPr bwMode="auto">
              <a:xfrm>
                <a:off x="2334" y="3018"/>
                <a:ext cx="81" cy="0"/>
              </a:xfrm>
              <a:custGeom>
                <a:avLst/>
                <a:gdLst>
                  <a:gd name="T0" fmla="*/ 0 w 653"/>
                  <a:gd name="T1" fmla="*/ 10 w 653"/>
                  <a:gd name="T2" fmla="*/ 10 w 6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653">
                    <a:moveTo>
                      <a:pt x="0" y="0"/>
                    </a:moveTo>
                    <a:lnTo>
                      <a:pt x="652" y="0"/>
                    </a:lnTo>
                    <a:lnTo>
                      <a:pt x="6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4" name="Freeform 488"/>
              <xdr:cNvSpPr>
                <a:spLocks noChangeAspect="1"/>
              </xdr:cNvSpPr>
            </xdr:nvSpPr>
            <xdr:spPr bwMode="auto">
              <a:xfrm>
                <a:off x="2334" y="3020"/>
                <a:ext cx="62" cy="21"/>
              </a:xfrm>
              <a:custGeom>
                <a:avLst/>
                <a:gdLst>
                  <a:gd name="T0" fmla="*/ 0 w 493"/>
                  <a:gd name="T1" fmla="*/ 0 h 147"/>
                  <a:gd name="T2" fmla="*/ 8 w 493"/>
                  <a:gd name="T3" fmla="*/ 3 h 147"/>
                  <a:gd name="T4" fmla="*/ 8 w 493"/>
                  <a:gd name="T5" fmla="*/ 3 h 1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3" h="147">
                    <a:moveTo>
                      <a:pt x="0" y="0"/>
                    </a:moveTo>
                    <a:lnTo>
                      <a:pt x="492" y="147"/>
                    </a:lnTo>
                    <a:lnTo>
                      <a:pt x="493" y="14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5" name="Freeform 489"/>
              <xdr:cNvSpPr>
                <a:spLocks noChangeAspect="1"/>
              </xdr:cNvSpPr>
            </xdr:nvSpPr>
            <xdr:spPr bwMode="auto">
              <a:xfrm>
                <a:off x="2376" y="2943"/>
                <a:ext cx="39" cy="0"/>
              </a:xfrm>
              <a:custGeom>
                <a:avLst/>
                <a:gdLst>
                  <a:gd name="T0" fmla="*/ 0 w 314"/>
                  <a:gd name="T1" fmla="*/ 5 w 314"/>
                  <a:gd name="T2" fmla="*/ 5 w 31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14">
                    <a:moveTo>
                      <a:pt x="0" y="0"/>
                    </a:moveTo>
                    <a:lnTo>
                      <a:pt x="313" y="0"/>
                    </a:lnTo>
                    <a:lnTo>
                      <a:pt x="3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6" name="Freeform 490"/>
              <xdr:cNvSpPr>
                <a:spLocks noChangeAspect="1"/>
              </xdr:cNvSpPr>
            </xdr:nvSpPr>
            <xdr:spPr bwMode="auto">
              <a:xfrm>
                <a:off x="2466" y="2933"/>
                <a:ext cx="3" cy="4"/>
              </a:xfrm>
              <a:custGeom>
                <a:avLst/>
                <a:gdLst>
                  <a:gd name="T0" fmla="*/ 0 w 29"/>
                  <a:gd name="T1" fmla="*/ 1 h 28"/>
                  <a:gd name="T2" fmla="*/ 0 w 29"/>
                  <a:gd name="T3" fmla="*/ 0 h 28"/>
                  <a:gd name="T4" fmla="*/ 0 w 29"/>
                  <a:gd name="T5" fmla="*/ 0 h 28"/>
                  <a:gd name="T6" fmla="*/ 0 w 29"/>
                  <a:gd name="T7" fmla="*/ 0 h 28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9" h="28">
                    <a:moveTo>
                      <a:pt x="0" y="28"/>
                    </a:moveTo>
                    <a:lnTo>
                      <a:pt x="20" y="21"/>
                    </a:ln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7" name="Freeform 491"/>
              <xdr:cNvSpPr>
                <a:spLocks noChangeAspect="1"/>
              </xdr:cNvSpPr>
            </xdr:nvSpPr>
            <xdr:spPr bwMode="auto">
              <a:xfrm>
                <a:off x="2322" y="2933"/>
                <a:ext cx="4" cy="4"/>
              </a:xfrm>
              <a:custGeom>
                <a:avLst/>
                <a:gdLst>
                  <a:gd name="T0" fmla="*/ 0 w 29"/>
                  <a:gd name="T1" fmla="*/ 0 h 28"/>
                  <a:gd name="T2" fmla="*/ 0 w 29"/>
                  <a:gd name="T3" fmla="*/ 0 h 28"/>
                  <a:gd name="T4" fmla="*/ 1 w 29"/>
                  <a:gd name="T5" fmla="*/ 1 h 28"/>
                  <a:gd name="T6" fmla="*/ 1 w 29"/>
                  <a:gd name="T7" fmla="*/ 1 h 28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9" h="28">
                    <a:moveTo>
                      <a:pt x="0" y="0"/>
                    </a:moveTo>
                    <a:lnTo>
                      <a:pt x="8" y="21"/>
                    </a:lnTo>
                    <a:lnTo>
                      <a:pt x="28" y="28"/>
                    </a:lnTo>
                    <a:lnTo>
                      <a:pt x="29" y="28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8" name="Freeform 492"/>
              <xdr:cNvSpPr>
                <a:spLocks noChangeAspect="1"/>
              </xdr:cNvSpPr>
            </xdr:nvSpPr>
            <xdr:spPr bwMode="auto">
              <a:xfrm>
                <a:off x="2325" y="2937"/>
                <a:ext cx="3" cy="0"/>
              </a:xfrm>
              <a:custGeom>
                <a:avLst/>
                <a:gdLst>
                  <a:gd name="T0" fmla="*/ 0 w 17"/>
                  <a:gd name="T1" fmla="*/ 1 w 17"/>
                  <a:gd name="T2" fmla="*/ 1 w 1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7">
                    <a:moveTo>
                      <a:pt x="0" y="0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23" name="Freeform 493"/>
            <xdr:cNvSpPr>
              <a:spLocks noChangeAspect="1"/>
            </xdr:cNvSpPr>
          </xdr:nvSpPr>
          <xdr:spPr bwMode="auto">
            <a:xfrm>
              <a:off x="1214" y="1627"/>
              <a:ext cx="720" cy="0"/>
            </a:xfrm>
            <a:custGeom>
              <a:avLst/>
              <a:gdLst>
                <a:gd name="T0" fmla="*/ 0 w 2020"/>
                <a:gd name="T1" fmla="*/ 256 w 2020"/>
                <a:gd name="T2" fmla="*/ 257 w 202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020">
                  <a:moveTo>
                    <a:pt x="0" y="0"/>
                  </a:moveTo>
                  <a:lnTo>
                    <a:pt x="2018" y="0"/>
                  </a:lnTo>
                  <a:lnTo>
                    <a:pt x="202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" name="Freeform 494"/>
            <xdr:cNvSpPr>
              <a:spLocks noChangeAspect="1"/>
            </xdr:cNvSpPr>
          </xdr:nvSpPr>
          <xdr:spPr bwMode="auto">
            <a:xfrm>
              <a:off x="1799" y="1621"/>
              <a:ext cx="0" cy="6"/>
            </a:xfrm>
            <a:custGeom>
              <a:avLst/>
              <a:gdLst>
                <a:gd name="T0" fmla="*/ 0 w 1"/>
                <a:gd name="T1" fmla="*/ 2 h 15"/>
                <a:gd name="T2" fmla="*/ 0 w 1"/>
                <a:gd name="T3" fmla="*/ 0 h 15"/>
                <a:gd name="T4" fmla="*/ 1 w 1"/>
                <a:gd name="T5" fmla="*/ 0 h 1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5">
                  <a:moveTo>
                    <a:pt x="0" y="15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" name="Freeform 495"/>
            <xdr:cNvSpPr>
              <a:spLocks noChangeAspect="1"/>
            </xdr:cNvSpPr>
          </xdr:nvSpPr>
          <xdr:spPr bwMode="auto">
            <a:xfrm>
              <a:off x="1376" y="1621"/>
              <a:ext cx="0" cy="6"/>
            </a:xfrm>
            <a:custGeom>
              <a:avLst/>
              <a:gdLst>
                <a:gd name="T0" fmla="*/ 0 w 1"/>
                <a:gd name="T1" fmla="*/ 2 h 15"/>
                <a:gd name="T2" fmla="*/ 0 w 1"/>
                <a:gd name="T3" fmla="*/ 0 h 15"/>
                <a:gd name="T4" fmla="*/ 1 w 1"/>
                <a:gd name="T5" fmla="*/ 0 h 1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5">
                  <a:moveTo>
                    <a:pt x="0" y="15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" name="Freeform 496"/>
            <xdr:cNvSpPr>
              <a:spLocks noChangeAspect="1"/>
            </xdr:cNvSpPr>
          </xdr:nvSpPr>
          <xdr:spPr bwMode="auto">
            <a:xfrm>
              <a:off x="1376" y="1621"/>
              <a:ext cx="423" cy="0"/>
            </a:xfrm>
            <a:custGeom>
              <a:avLst/>
              <a:gdLst>
                <a:gd name="T0" fmla="*/ 0 w 1184"/>
                <a:gd name="T1" fmla="*/ 151 w 1184"/>
                <a:gd name="T2" fmla="*/ 151 w 118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184">
                  <a:moveTo>
                    <a:pt x="0" y="0"/>
                  </a:moveTo>
                  <a:lnTo>
                    <a:pt x="1183" y="0"/>
                  </a:lnTo>
                  <a:lnTo>
                    <a:pt x="118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" name="Freeform 497"/>
            <xdr:cNvSpPr>
              <a:spLocks noChangeAspect="1"/>
            </xdr:cNvSpPr>
          </xdr:nvSpPr>
          <xdr:spPr bwMode="auto">
            <a:xfrm>
              <a:off x="1376" y="1627"/>
              <a:ext cx="423" cy="0"/>
            </a:xfrm>
            <a:custGeom>
              <a:avLst/>
              <a:gdLst>
                <a:gd name="T0" fmla="*/ 0 w 1184"/>
                <a:gd name="T1" fmla="*/ 151 w 1184"/>
                <a:gd name="T2" fmla="*/ 151 w 118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184">
                  <a:moveTo>
                    <a:pt x="0" y="0"/>
                  </a:moveTo>
                  <a:lnTo>
                    <a:pt x="1183" y="0"/>
                  </a:lnTo>
                  <a:lnTo>
                    <a:pt x="118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" name="Freeform 498"/>
            <xdr:cNvSpPr>
              <a:spLocks noChangeAspect="1"/>
            </xdr:cNvSpPr>
          </xdr:nvSpPr>
          <xdr:spPr bwMode="auto">
            <a:xfrm>
              <a:off x="1797" y="1627"/>
              <a:ext cx="5" cy="5"/>
            </a:xfrm>
            <a:custGeom>
              <a:avLst/>
              <a:gdLst>
                <a:gd name="T0" fmla="*/ 2 w 12"/>
                <a:gd name="T1" fmla="*/ 0 h 11"/>
                <a:gd name="T2" fmla="*/ 0 w 12"/>
                <a:gd name="T3" fmla="*/ 0 h 11"/>
                <a:gd name="T4" fmla="*/ 0 w 12"/>
                <a:gd name="T5" fmla="*/ 2 h 11"/>
                <a:gd name="T6" fmla="*/ 0 w 12"/>
                <a:gd name="T7" fmla="*/ 2 h 1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11">
                  <a:moveTo>
                    <a:pt x="12" y="0"/>
                  </a:moveTo>
                  <a:lnTo>
                    <a:pt x="3" y="3"/>
                  </a:lnTo>
                  <a:lnTo>
                    <a:pt x="0" y="11"/>
                  </a:lnTo>
                  <a:lnTo>
                    <a:pt x="1" y="11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" name="Freeform 499"/>
            <xdr:cNvSpPr>
              <a:spLocks noChangeAspect="1"/>
            </xdr:cNvSpPr>
          </xdr:nvSpPr>
          <xdr:spPr bwMode="auto">
            <a:xfrm>
              <a:off x="1371" y="1627"/>
              <a:ext cx="5" cy="5"/>
            </a:xfrm>
            <a:custGeom>
              <a:avLst/>
              <a:gdLst>
                <a:gd name="T0" fmla="*/ 2 w 12"/>
                <a:gd name="T1" fmla="*/ 2 h 11"/>
                <a:gd name="T2" fmla="*/ 2 w 12"/>
                <a:gd name="T3" fmla="*/ 0 h 11"/>
                <a:gd name="T4" fmla="*/ 0 w 12"/>
                <a:gd name="T5" fmla="*/ 0 h 11"/>
                <a:gd name="T6" fmla="*/ 0 w 12"/>
                <a:gd name="T7" fmla="*/ 0 h 1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11">
                  <a:moveTo>
                    <a:pt x="12" y="11"/>
                  </a:moveTo>
                  <a:lnTo>
                    <a:pt x="9" y="3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" name="Freeform 500"/>
            <xdr:cNvSpPr>
              <a:spLocks noChangeAspect="1"/>
            </xdr:cNvSpPr>
          </xdr:nvSpPr>
          <xdr:spPr bwMode="auto">
            <a:xfrm>
              <a:off x="1802" y="1627"/>
              <a:ext cx="94" cy="0"/>
            </a:xfrm>
            <a:custGeom>
              <a:avLst/>
              <a:gdLst>
                <a:gd name="T0" fmla="*/ 0 w 268"/>
                <a:gd name="T1" fmla="*/ 33 w 268"/>
                <a:gd name="T2" fmla="*/ 33 w 26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68">
                  <a:moveTo>
                    <a:pt x="0" y="0"/>
                  </a:moveTo>
                  <a:lnTo>
                    <a:pt x="267" y="0"/>
                  </a:lnTo>
                  <a:lnTo>
                    <a:pt x="26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" name="Freeform 501"/>
            <xdr:cNvSpPr>
              <a:spLocks noChangeAspect="1"/>
            </xdr:cNvSpPr>
          </xdr:nvSpPr>
          <xdr:spPr bwMode="auto">
            <a:xfrm>
              <a:off x="1896" y="1592"/>
              <a:ext cx="32" cy="35"/>
            </a:xfrm>
            <a:custGeom>
              <a:avLst/>
              <a:gdLst>
                <a:gd name="T0" fmla="*/ 0 w 87"/>
                <a:gd name="T1" fmla="*/ 15 h 82"/>
                <a:gd name="T2" fmla="*/ 6 w 87"/>
                <a:gd name="T3" fmla="*/ 13 h 82"/>
                <a:gd name="T4" fmla="*/ 10 w 87"/>
                <a:gd name="T5" fmla="*/ 8 h 82"/>
                <a:gd name="T6" fmla="*/ 12 w 87"/>
                <a:gd name="T7" fmla="*/ 0 h 82"/>
                <a:gd name="T8" fmla="*/ 12 w 87"/>
                <a:gd name="T9" fmla="*/ 0 h 8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7" h="82">
                  <a:moveTo>
                    <a:pt x="0" y="82"/>
                  </a:moveTo>
                  <a:lnTo>
                    <a:pt x="43" y="71"/>
                  </a:lnTo>
                  <a:lnTo>
                    <a:pt x="74" y="41"/>
                  </a:lnTo>
                  <a:lnTo>
                    <a:pt x="86" y="0"/>
                  </a:lnTo>
                  <a:lnTo>
                    <a:pt x="87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" name="Freeform 502"/>
            <xdr:cNvSpPr>
              <a:spLocks noChangeAspect="1"/>
            </xdr:cNvSpPr>
          </xdr:nvSpPr>
          <xdr:spPr bwMode="auto">
            <a:xfrm>
              <a:off x="1317" y="1592"/>
              <a:ext cx="31" cy="35"/>
            </a:xfrm>
            <a:custGeom>
              <a:avLst/>
              <a:gdLst>
                <a:gd name="T0" fmla="*/ 0 w 87"/>
                <a:gd name="T1" fmla="*/ 0 h 82"/>
                <a:gd name="T2" fmla="*/ 2 w 87"/>
                <a:gd name="T3" fmla="*/ 8 h 82"/>
                <a:gd name="T4" fmla="*/ 6 w 87"/>
                <a:gd name="T5" fmla="*/ 13 h 82"/>
                <a:gd name="T6" fmla="*/ 11 w 87"/>
                <a:gd name="T7" fmla="*/ 15 h 82"/>
                <a:gd name="T8" fmla="*/ 11 w 87"/>
                <a:gd name="T9" fmla="*/ 15 h 8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7" h="82">
                  <a:moveTo>
                    <a:pt x="0" y="0"/>
                  </a:moveTo>
                  <a:lnTo>
                    <a:pt x="13" y="41"/>
                  </a:lnTo>
                  <a:lnTo>
                    <a:pt x="44" y="71"/>
                  </a:lnTo>
                  <a:lnTo>
                    <a:pt x="86" y="82"/>
                  </a:lnTo>
                  <a:lnTo>
                    <a:pt x="87" y="8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" name="Freeform 503"/>
            <xdr:cNvSpPr>
              <a:spLocks noChangeAspect="1"/>
            </xdr:cNvSpPr>
          </xdr:nvSpPr>
          <xdr:spPr bwMode="auto">
            <a:xfrm>
              <a:off x="1314" y="1512"/>
              <a:ext cx="3" cy="80"/>
            </a:xfrm>
            <a:custGeom>
              <a:avLst/>
              <a:gdLst>
                <a:gd name="T0" fmla="*/ 0 w 7"/>
                <a:gd name="T1" fmla="*/ 0 h 196"/>
                <a:gd name="T2" fmla="*/ 1 w 7"/>
                <a:gd name="T3" fmla="*/ 33 h 196"/>
                <a:gd name="T4" fmla="*/ 1 w 7"/>
                <a:gd name="T5" fmla="*/ 33 h 19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196">
                  <a:moveTo>
                    <a:pt x="0" y="0"/>
                  </a:moveTo>
                  <a:lnTo>
                    <a:pt x="6" y="196"/>
                  </a:lnTo>
                  <a:lnTo>
                    <a:pt x="7" y="19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" name="Freeform 504"/>
            <xdr:cNvSpPr>
              <a:spLocks noChangeAspect="1"/>
            </xdr:cNvSpPr>
          </xdr:nvSpPr>
          <xdr:spPr bwMode="auto">
            <a:xfrm>
              <a:off x="1928" y="1512"/>
              <a:ext cx="3" cy="80"/>
            </a:xfrm>
            <a:custGeom>
              <a:avLst/>
              <a:gdLst>
                <a:gd name="T0" fmla="*/ 2 w 6"/>
                <a:gd name="T1" fmla="*/ 0 h 196"/>
                <a:gd name="T2" fmla="*/ 0 w 6"/>
                <a:gd name="T3" fmla="*/ 33 h 196"/>
                <a:gd name="T4" fmla="*/ 1 w 6"/>
                <a:gd name="T5" fmla="*/ 33 h 19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6" h="196">
                  <a:moveTo>
                    <a:pt x="6" y="0"/>
                  </a:moveTo>
                  <a:lnTo>
                    <a:pt x="0" y="196"/>
                  </a:lnTo>
                  <a:lnTo>
                    <a:pt x="1" y="19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" name="Freeform 505"/>
            <xdr:cNvSpPr>
              <a:spLocks noChangeAspect="1"/>
            </xdr:cNvSpPr>
          </xdr:nvSpPr>
          <xdr:spPr bwMode="auto">
            <a:xfrm>
              <a:off x="1797" y="1632"/>
              <a:ext cx="0" cy="6"/>
            </a:xfrm>
            <a:custGeom>
              <a:avLst/>
              <a:gdLst>
                <a:gd name="T0" fmla="*/ 0 w 1"/>
                <a:gd name="T1" fmla="*/ 0 h 16"/>
                <a:gd name="T2" fmla="*/ 0 w 1"/>
                <a:gd name="T3" fmla="*/ 2 h 16"/>
                <a:gd name="T4" fmla="*/ 1 w 1"/>
                <a:gd name="T5" fmla="*/ 2 h 1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6">
                  <a:moveTo>
                    <a:pt x="0" y="0"/>
                  </a:moveTo>
                  <a:lnTo>
                    <a:pt x="0" y="16"/>
                  </a:lnTo>
                  <a:lnTo>
                    <a:pt x="1" y="1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" name="Freeform 506"/>
            <xdr:cNvSpPr>
              <a:spLocks noChangeAspect="1"/>
            </xdr:cNvSpPr>
          </xdr:nvSpPr>
          <xdr:spPr bwMode="auto">
            <a:xfrm>
              <a:off x="1376" y="1632"/>
              <a:ext cx="0" cy="6"/>
            </a:xfrm>
            <a:custGeom>
              <a:avLst/>
              <a:gdLst>
                <a:gd name="T0" fmla="*/ 0 w 1"/>
                <a:gd name="T1" fmla="*/ 0 h 16"/>
                <a:gd name="T2" fmla="*/ 0 w 1"/>
                <a:gd name="T3" fmla="*/ 2 h 16"/>
                <a:gd name="T4" fmla="*/ 1 w 1"/>
                <a:gd name="T5" fmla="*/ 2 h 1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6">
                  <a:moveTo>
                    <a:pt x="0" y="0"/>
                  </a:moveTo>
                  <a:lnTo>
                    <a:pt x="0" y="16"/>
                  </a:lnTo>
                  <a:lnTo>
                    <a:pt x="1" y="1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" name="Freeform 507"/>
            <xdr:cNvSpPr>
              <a:spLocks noChangeAspect="1"/>
            </xdr:cNvSpPr>
          </xdr:nvSpPr>
          <xdr:spPr bwMode="auto">
            <a:xfrm>
              <a:off x="1348" y="1627"/>
              <a:ext cx="26" cy="0"/>
            </a:xfrm>
            <a:custGeom>
              <a:avLst/>
              <a:gdLst>
                <a:gd name="T0" fmla="*/ 0 w 70"/>
                <a:gd name="T1" fmla="*/ 10 w 70"/>
                <a:gd name="T2" fmla="*/ 10 w 7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0">
                  <a:moveTo>
                    <a:pt x="0" y="0"/>
                  </a:moveTo>
                  <a:lnTo>
                    <a:pt x="69" y="0"/>
                  </a:lnTo>
                  <a:lnTo>
                    <a:pt x="7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" name="Freeform 508"/>
            <xdr:cNvSpPr>
              <a:spLocks noChangeAspect="1"/>
            </xdr:cNvSpPr>
          </xdr:nvSpPr>
          <xdr:spPr bwMode="auto">
            <a:xfrm>
              <a:off x="1357" y="1478"/>
              <a:ext cx="35" cy="0"/>
            </a:xfrm>
            <a:custGeom>
              <a:avLst/>
              <a:gdLst>
                <a:gd name="T0" fmla="*/ 0 w 98"/>
                <a:gd name="T1" fmla="*/ 13 w 98"/>
                <a:gd name="T2" fmla="*/ 13 w 9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">
                  <a:moveTo>
                    <a:pt x="0" y="0"/>
                  </a:moveTo>
                  <a:lnTo>
                    <a:pt x="97" y="0"/>
                  </a:lnTo>
                  <a:lnTo>
                    <a:pt x="9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" name="Freeform 509"/>
            <xdr:cNvSpPr>
              <a:spLocks noChangeAspect="1"/>
            </xdr:cNvSpPr>
          </xdr:nvSpPr>
          <xdr:spPr bwMode="auto">
            <a:xfrm>
              <a:off x="1357" y="1460"/>
              <a:ext cx="0" cy="18"/>
            </a:xfrm>
            <a:custGeom>
              <a:avLst/>
              <a:gdLst>
                <a:gd name="T0" fmla="*/ 0 w 1"/>
                <a:gd name="T1" fmla="*/ 0 h 45"/>
                <a:gd name="T2" fmla="*/ 0 w 1"/>
                <a:gd name="T3" fmla="*/ 7 h 45"/>
                <a:gd name="T4" fmla="*/ 1 w 1"/>
                <a:gd name="T5" fmla="*/ 7 h 4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45">
                  <a:moveTo>
                    <a:pt x="0" y="0"/>
                  </a:moveTo>
                  <a:lnTo>
                    <a:pt x="0" y="45"/>
                  </a:lnTo>
                  <a:lnTo>
                    <a:pt x="1" y="45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" name="Freeform 510"/>
            <xdr:cNvSpPr>
              <a:spLocks noChangeAspect="1"/>
            </xdr:cNvSpPr>
          </xdr:nvSpPr>
          <xdr:spPr bwMode="auto">
            <a:xfrm>
              <a:off x="1365" y="1478"/>
              <a:ext cx="27" cy="0"/>
            </a:xfrm>
            <a:custGeom>
              <a:avLst/>
              <a:gdLst>
                <a:gd name="T0" fmla="*/ 0 w 75"/>
                <a:gd name="T1" fmla="*/ 10 w 75"/>
                <a:gd name="T2" fmla="*/ 10 w 7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5">
                  <a:moveTo>
                    <a:pt x="0" y="0"/>
                  </a:moveTo>
                  <a:lnTo>
                    <a:pt x="74" y="0"/>
                  </a:lnTo>
                  <a:lnTo>
                    <a:pt x="7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" name="Freeform 511"/>
            <xdr:cNvSpPr>
              <a:spLocks noChangeAspect="1"/>
            </xdr:cNvSpPr>
          </xdr:nvSpPr>
          <xdr:spPr bwMode="auto">
            <a:xfrm>
              <a:off x="1785" y="1478"/>
              <a:ext cx="34" cy="0"/>
            </a:xfrm>
            <a:custGeom>
              <a:avLst/>
              <a:gdLst>
                <a:gd name="T0" fmla="*/ 12 w 98"/>
                <a:gd name="T1" fmla="*/ 0 w 98"/>
                <a:gd name="T2" fmla="*/ 0 w 9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">
                  <a:moveTo>
                    <a:pt x="98" y="0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2" name="Freeform 512"/>
            <xdr:cNvSpPr>
              <a:spLocks noChangeAspect="1"/>
            </xdr:cNvSpPr>
          </xdr:nvSpPr>
          <xdr:spPr bwMode="auto">
            <a:xfrm>
              <a:off x="1783" y="1478"/>
              <a:ext cx="25" cy="0"/>
            </a:xfrm>
            <a:custGeom>
              <a:avLst/>
              <a:gdLst>
                <a:gd name="T0" fmla="*/ 8 w 75"/>
                <a:gd name="T1" fmla="*/ 0 w 75"/>
                <a:gd name="T2" fmla="*/ 0 w 7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5">
                  <a:moveTo>
                    <a:pt x="75" y="0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" name="Freeform 513"/>
            <xdr:cNvSpPr>
              <a:spLocks noChangeAspect="1"/>
            </xdr:cNvSpPr>
          </xdr:nvSpPr>
          <xdr:spPr bwMode="auto">
            <a:xfrm>
              <a:off x="1394" y="1495"/>
              <a:ext cx="391" cy="0"/>
            </a:xfrm>
            <a:custGeom>
              <a:avLst/>
              <a:gdLst>
                <a:gd name="T0" fmla="*/ 0 w 1095"/>
                <a:gd name="T1" fmla="*/ 140 w 1095"/>
                <a:gd name="T2" fmla="*/ 140 w 109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095">
                  <a:moveTo>
                    <a:pt x="0" y="0"/>
                  </a:moveTo>
                  <a:lnTo>
                    <a:pt x="1094" y="0"/>
                  </a:lnTo>
                  <a:lnTo>
                    <a:pt x="109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" name="Freeform 514"/>
            <xdr:cNvSpPr>
              <a:spLocks noChangeAspect="1"/>
            </xdr:cNvSpPr>
          </xdr:nvSpPr>
          <xdr:spPr bwMode="auto">
            <a:xfrm>
              <a:off x="1392" y="1487"/>
              <a:ext cx="2" cy="8"/>
            </a:xfrm>
            <a:custGeom>
              <a:avLst/>
              <a:gdLst>
                <a:gd name="T0" fmla="*/ 1 w 5"/>
                <a:gd name="T1" fmla="*/ 4 h 17"/>
                <a:gd name="T2" fmla="*/ 0 w 5"/>
                <a:gd name="T3" fmla="*/ 0 h 17"/>
                <a:gd name="T4" fmla="*/ 0 w 5"/>
                <a:gd name="T5" fmla="*/ 0 h 1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" h="17">
                  <a:moveTo>
                    <a:pt x="5" y="17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" name="Freeform 515"/>
            <xdr:cNvSpPr>
              <a:spLocks noChangeAspect="1"/>
            </xdr:cNvSpPr>
          </xdr:nvSpPr>
          <xdr:spPr bwMode="auto">
            <a:xfrm>
              <a:off x="1392" y="1478"/>
              <a:ext cx="2" cy="17"/>
            </a:xfrm>
            <a:custGeom>
              <a:avLst/>
              <a:gdLst>
                <a:gd name="T0" fmla="*/ 0 w 5"/>
                <a:gd name="T1" fmla="*/ 0 h 44"/>
                <a:gd name="T2" fmla="*/ 0 w 5"/>
                <a:gd name="T3" fmla="*/ 7 h 44"/>
                <a:gd name="T4" fmla="*/ 1 w 5"/>
                <a:gd name="T5" fmla="*/ 7 h 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" h="44">
                  <a:moveTo>
                    <a:pt x="0" y="0"/>
                  </a:moveTo>
                  <a:lnTo>
                    <a:pt x="3" y="44"/>
                  </a:lnTo>
                  <a:lnTo>
                    <a:pt x="5" y="4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" name="Freeform 516"/>
            <xdr:cNvSpPr>
              <a:spLocks noChangeAspect="1"/>
            </xdr:cNvSpPr>
          </xdr:nvSpPr>
          <xdr:spPr bwMode="auto">
            <a:xfrm>
              <a:off x="1783" y="1478"/>
              <a:ext cx="2" cy="17"/>
            </a:xfrm>
            <a:custGeom>
              <a:avLst/>
              <a:gdLst>
                <a:gd name="T0" fmla="*/ 2 w 2"/>
                <a:gd name="T1" fmla="*/ 0 h 44"/>
                <a:gd name="T2" fmla="*/ 0 w 2"/>
                <a:gd name="T3" fmla="*/ 7 h 44"/>
                <a:gd name="T4" fmla="*/ 1 w 2"/>
                <a:gd name="T5" fmla="*/ 7 h 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44">
                  <a:moveTo>
                    <a:pt x="2" y="0"/>
                  </a:moveTo>
                  <a:lnTo>
                    <a:pt x="0" y="44"/>
                  </a:lnTo>
                  <a:lnTo>
                    <a:pt x="1" y="4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" name="Freeform 517"/>
            <xdr:cNvSpPr>
              <a:spLocks noChangeAspect="1"/>
            </xdr:cNvSpPr>
          </xdr:nvSpPr>
          <xdr:spPr bwMode="auto">
            <a:xfrm rot="-4882971">
              <a:off x="1563" y="1307"/>
              <a:ext cx="64" cy="369"/>
            </a:xfrm>
            <a:custGeom>
              <a:avLst/>
              <a:gdLst>
                <a:gd name="T0" fmla="*/ 1 w 178"/>
                <a:gd name="T1" fmla="*/ 0 h 899"/>
                <a:gd name="T2" fmla="*/ 0 w 178"/>
                <a:gd name="T3" fmla="*/ 0 h 899"/>
                <a:gd name="T4" fmla="*/ 23 w 178"/>
                <a:gd name="T5" fmla="*/ 151 h 899"/>
                <a:gd name="T6" fmla="*/ 1 w 178"/>
                <a:gd name="T7" fmla="*/ 0 h 89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8" h="899">
                  <a:moveTo>
                    <a:pt x="7" y="0"/>
                  </a:moveTo>
                  <a:lnTo>
                    <a:pt x="0" y="2"/>
                  </a:lnTo>
                  <a:lnTo>
                    <a:pt x="178" y="899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8" name="Freeform 518"/>
            <xdr:cNvSpPr>
              <a:spLocks noChangeAspect="1"/>
            </xdr:cNvSpPr>
          </xdr:nvSpPr>
          <xdr:spPr bwMode="auto">
            <a:xfrm rot="-4882971">
              <a:off x="1564" y="1310"/>
              <a:ext cx="63" cy="366"/>
            </a:xfrm>
            <a:custGeom>
              <a:avLst/>
              <a:gdLst>
                <a:gd name="T0" fmla="*/ 0 w 178"/>
                <a:gd name="T1" fmla="*/ 0 h 898"/>
                <a:gd name="T2" fmla="*/ 22 w 178"/>
                <a:gd name="T3" fmla="*/ 149 h 898"/>
                <a:gd name="T4" fmla="*/ 22 w 178"/>
                <a:gd name="T5" fmla="*/ 149 h 898"/>
                <a:gd name="T6" fmla="*/ 0 w 178"/>
                <a:gd name="T7" fmla="*/ 0 h 89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8" h="898">
                  <a:moveTo>
                    <a:pt x="0" y="0"/>
                  </a:moveTo>
                  <a:lnTo>
                    <a:pt x="178" y="897"/>
                  </a:lnTo>
                  <a:lnTo>
                    <a:pt x="171" y="89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519"/>
            <xdr:cNvSpPr>
              <a:spLocks noChangeAspect="1"/>
            </xdr:cNvSpPr>
          </xdr:nvSpPr>
          <xdr:spPr bwMode="auto">
            <a:xfrm rot="-4882971">
              <a:off x="1551" y="1298"/>
              <a:ext cx="65" cy="388"/>
            </a:xfrm>
            <a:custGeom>
              <a:avLst/>
              <a:gdLst>
                <a:gd name="T0" fmla="*/ 1 w 178"/>
                <a:gd name="T1" fmla="*/ 0 h 900"/>
                <a:gd name="T2" fmla="*/ 0 w 178"/>
                <a:gd name="T3" fmla="*/ 0 h 900"/>
                <a:gd name="T4" fmla="*/ 23 w 178"/>
                <a:gd name="T5" fmla="*/ 167 h 900"/>
                <a:gd name="T6" fmla="*/ 24 w 178"/>
                <a:gd name="T7" fmla="*/ 167 h 900"/>
                <a:gd name="T8" fmla="*/ 1 w 178"/>
                <a:gd name="T9" fmla="*/ 0 h 90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78" h="900">
                  <a:moveTo>
                    <a:pt x="7" y="0"/>
                  </a:moveTo>
                  <a:lnTo>
                    <a:pt x="0" y="2"/>
                  </a:lnTo>
                  <a:lnTo>
                    <a:pt x="171" y="900"/>
                  </a:lnTo>
                  <a:lnTo>
                    <a:pt x="178" y="899"/>
                  </a:lnTo>
                  <a:lnTo>
                    <a:pt x="7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" name="Freeform 520"/>
            <xdr:cNvSpPr>
              <a:spLocks noChangeAspect="1"/>
            </xdr:cNvSpPr>
          </xdr:nvSpPr>
          <xdr:spPr bwMode="auto">
            <a:xfrm rot="-4882971">
              <a:off x="1528" y="1265"/>
              <a:ext cx="65" cy="363"/>
            </a:xfrm>
            <a:custGeom>
              <a:avLst/>
              <a:gdLst>
                <a:gd name="T0" fmla="*/ 23 w 186"/>
                <a:gd name="T1" fmla="*/ 149 h 887"/>
                <a:gd name="T2" fmla="*/ 14 w 186"/>
                <a:gd name="T3" fmla="*/ 74 h 887"/>
                <a:gd name="T4" fmla="*/ 0 w 186"/>
                <a:gd name="T5" fmla="*/ 0 h 887"/>
                <a:gd name="T6" fmla="*/ 0 w 186"/>
                <a:gd name="T7" fmla="*/ 0 h 88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86" h="887">
                  <a:moveTo>
                    <a:pt x="186" y="887"/>
                  </a:moveTo>
                  <a:lnTo>
                    <a:pt x="116" y="439"/>
                  </a:lnTo>
                  <a:lnTo>
                    <a:pt x="0" y="0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" name="Freeform 521"/>
            <xdr:cNvSpPr>
              <a:spLocks noChangeAspect="1"/>
            </xdr:cNvSpPr>
          </xdr:nvSpPr>
          <xdr:spPr bwMode="auto">
            <a:xfrm rot="-4882971">
              <a:off x="1770" y="1489"/>
              <a:ext cx="21" cy="6"/>
            </a:xfrm>
            <a:custGeom>
              <a:avLst/>
              <a:gdLst>
                <a:gd name="T0" fmla="*/ 0 w 54"/>
                <a:gd name="T1" fmla="*/ 4 h 10"/>
                <a:gd name="T2" fmla="*/ 8 w 54"/>
                <a:gd name="T3" fmla="*/ 0 h 10"/>
                <a:gd name="T4" fmla="*/ 8 w 54"/>
                <a:gd name="T5" fmla="*/ 0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10">
                  <a:moveTo>
                    <a:pt x="0" y="10"/>
                  </a:moveTo>
                  <a:lnTo>
                    <a:pt x="53" y="0"/>
                  </a:lnTo>
                  <a:lnTo>
                    <a:pt x="5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" name="Freeform 522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3 w 23"/>
                <a:gd name="T3" fmla="*/ 0 h 7"/>
                <a:gd name="T4" fmla="*/ 0 w 23"/>
                <a:gd name="T5" fmla="*/ 1 h 7"/>
                <a:gd name="T6" fmla="*/ 3 w 23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7">
                  <a:moveTo>
                    <a:pt x="23" y="3"/>
                  </a:moveTo>
                  <a:lnTo>
                    <a:pt x="23" y="0"/>
                  </a:lnTo>
                  <a:lnTo>
                    <a:pt x="0" y="7"/>
                  </a:lnTo>
                  <a:lnTo>
                    <a:pt x="23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Freeform 523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4"/>
                <a:gd name="T1" fmla="*/ 0 h 7"/>
                <a:gd name="T2" fmla="*/ 0 w 24"/>
                <a:gd name="T3" fmla="*/ 1 h 7"/>
                <a:gd name="T4" fmla="*/ 0 w 24"/>
                <a:gd name="T5" fmla="*/ 1 h 7"/>
                <a:gd name="T6" fmla="*/ 3 w 24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7">
                  <a:moveTo>
                    <a:pt x="24" y="0"/>
                  </a:moveTo>
                  <a:lnTo>
                    <a:pt x="1" y="7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4" name="Freeform 524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4"/>
                <a:gd name="T1" fmla="*/ 0 h 7"/>
                <a:gd name="T2" fmla="*/ 3 w 24"/>
                <a:gd name="T3" fmla="*/ 0 h 7"/>
                <a:gd name="T4" fmla="*/ 0 w 24"/>
                <a:gd name="T5" fmla="*/ 1 h 7"/>
                <a:gd name="T6" fmla="*/ 0 w 24"/>
                <a:gd name="T7" fmla="*/ 1 h 7"/>
                <a:gd name="T8" fmla="*/ 3 w 24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7">
                  <a:moveTo>
                    <a:pt x="24" y="3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7"/>
                  </a:lnTo>
                  <a:lnTo>
                    <a:pt x="24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" name="Freeform 525"/>
            <xdr:cNvSpPr>
              <a:spLocks noChangeAspect="1"/>
            </xdr:cNvSpPr>
          </xdr:nvSpPr>
          <xdr:spPr bwMode="auto">
            <a:xfrm rot="-4882971">
              <a:off x="1589" y="1475"/>
              <a:ext cx="14" cy="78"/>
            </a:xfrm>
            <a:custGeom>
              <a:avLst/>
              <a:gdLst>
                <a:gd name="T0" fmla="*/ 0 w 37"/>
                <a:gd name="T1" fmla="*/ 0 h 193"/>
                <a:gd name="T2" fmla="*/ 5 w 37"/>
                <a:gd name="T3" fmla="*/ 32 h 193"/>
                <a:gd name="T4" fmla="*/ 5 w 37"/>
                <a:gd name="T5" fmla="*/ 32 h 193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7" h="193">
                  <a:moveTo>
                    <a:pt x="0" y="0"/>
                  </a:moveTo>
                  <a:lnTo>
                    <a:pt x="36" y="193"/>
                  </a:lnTo>
                  <a:lnTo>
                    <a:pt x="37" y="19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6" name="Freeform 526"/>
            <xdr:cNvSpPr>
              <a:spLocks noChangeAspect="1"/>
            </xdr:cNvSpPr>
          </xdr:nvSpPr>
          <xdr:spPr bwMode="auto">
            <a:xfrm rot="-4882971">
              <a:off x="1590" y="1489"/>
              <a:ext cx="13" cy="78"/>
            </a:xfrm>
            <a:custGeom>
              <a:avLst/>
              <a:gdLst>
                <a:gd name="T0" fmla="*/ 0 w 38"/>
                <a:gd name="T1" fmla="*/ 0 h 192"/>
                <a:gd name="T2" fmla="*/ 4 w 38"/>
                <a:gd name="T3" fmla="*/ 32 h 192"/>
                <a:gd name="T4" fmla="*/ 4 w 38"/>
                <a:gd name="T5" fmla="*/ 32 h 19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8" h="192">
                  <a:moveTo>
                    <a:pt x="0" y="0"/>
                  </a:moveTo>
                  <a:lnTo>
                    <a:pt x="37" y="192"/>
                  </a:lnTo>
                  <a:lnTo>
                    <a:pt x="38" y="19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7" name="Freeform 527"/>
            <xdr:cNvSpPr>
              <a:spLocks noChangeAspect="1"/>
            </xdr:cNvSpPr>
          </xdr:nvSpPr>
          <xdr:spPr bwMode="auto">
            <a:xfrm rot="-4882971">
              <a:off x="1558" y="1315"/>
              <a:ext cx="61" cy="380"/>
            </a:xfrm>
            <a:custGeom>
              <a:avLst/>
              <a:gdLst>
                <a:gd name="T0" fmla="*/ 0 w 172"/>
                <a:gd name="T1" fmla="*/ 0 h 899"/>
                <a:gd name="T2" fmla="*/ 22 w 172"/>
                <a:gd name="T3" fmla="*/ 161 h 899"/>
                <a:gd name="T4" fmla="*/ 22 w 172"/>
                <a:gd name="T5" fmla="*/ 161 h 89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72" h="899">
                  <a:moveTo>
                    <a:pt x="0" y="0"/>
                  </a:moveTo>
                  <a:lnTo>
                    <a:pt x="171" y="899"/>
                  </a:lnTo>
                  <a:lnTo>
                    <a:pt x="172" y="899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8" name="Freeform 528"/>
            <xdr:cNvSpPr>
              <a:spLocks noChangeAspect="1"/>
            </xdr:cNvSpPr>
          </xdr:nvSpPr>
          <xdr:spPr bwMode="auto">
            <a:xfrm rot="-4882971">
              <a:off x="1631" y="1521"/>
              <a:ext cx="5" cy="3"/>
            </a:xfrm>
            <a:custGeom>
              <a:avLst/>
              <a:gdLst>
                <a:gd name="T0" fmla="*/ 1 w 23"/>
                <a:gd name="T1" fmla="*/ 1 h 8"/>
                <a:gd name="T2" fmla="*/ 1 w 23"/>
                <a:gd name="T3" fmla="*/ 0 h 8"/>
                <a:gd name="T4" fmla="*/ 0 w 23"/>
                <a:gd name="T5" fmla="*/ 1 h 8"/>
                <a:gd name="T6" fmla="*/ 1 w 23"/>
                <a:gd name="T7" fmla="*/ 1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8">
                  <a:moveTo>
                    <a:pt x="23" y="4"/>
                  </a:moveTo>
                  <a:lnTo>
                    <a:pt x="23" y="0"/>
                  </a:lnTo>
                  <a:lnTo>
                    <a:pt x="0" y="8"/>
                  </a:lnTo>
                  <a:lnTo>
                    <a:pt x="23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29"/>
            <xdr:cNvSpPr>
              <a:spLocks noChangeAspect="1"/>
            </xdr:cNvSpPr>
          </xdr:nvSpPr>
          <xdr:spPr bwMode="auto">
            <a:xfrm rot="-4882971">
              <a:off x="1630" y="1521"/>
              <a:ext cx="8" cy="3"/>
            </a:xfrm>
            <a:custGeom>
              <a:avLst/>
              <a:gdLst>
                <a:gd name="T0" fmla="*/ 3 w 24"/>
                <a:gd name="T1" fmla="*/ 0 h 8"/>
                <a:gd name="T2" fmla="*/ 0 w 24"/>
                <a:gd name="T3" fmla="*/ 1 h 8"/>
                <a:gd name="T4" fmla="*/ 0 w 24"/>
                <a:gd name="T5" fmla="*/ 1 h 8"/>
                <a:gd name="T6" fmla="*/ 3 w 24"/>
                <a:gd name="T7" fmla="*/ 0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0"/>
                  </a:moveTo>
                  <a:lnTo>
                    <a:pt x="1" y="8"/>
                  </a:lnTo>
                  <a:lnTo>
                    <a:pt x="0" y="5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30"/>
            <xdr:cNvSpPr>
              <a:spLocks noChangeAspect="1"/>
            </xdr:cNvSpPr>
          </xdr:nvSpPr>
          <xdr:spPr bwMode="auto">
            <a:xfrm rot="-4882971">
              <a:off x="1630" y="1521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0 w 24"/>
                <a:gd name="T7" fmla="*/ 1 h 8"/>
                <a:gd name="T8" fmla="*/ 3 w 24"/>
                <a:gd name="T9" fmla="*/ 1 h 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5"/>
                  </a:lnTo>
                  <a:lnTo>
                    <a:pt x="1" y="8"/>
                  </a:lnTo>
                  <a:lnTo>
                    <a:pt x="24" y="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" name="Freeform 531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2"/>
                <a:gd name="T1" fmla="*/ 0 h 7"/>
                <a:gd name="T2" fmla="*/ 3 w 22"/>
                <a:gd name="T3" fmla="*/ 0 h 7"/>
                <a:gd name="T4" fmla="*/ 0 w 22"/>
                <a:gd name="T5" fmla="*/ 1 h 7"/>
                <a:gd name="T6" fmla="*/ 3 w 2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7">
                  <a:moveTo>
                    <a:pt x="22" y="3"/>
                  </a:moveTo>
                  <a:lnTo>
                    <a:pt x="22" y="0"/>
                  </a:lnTo>
                  <a:lnTo>
                    <a:pt x="0" y="7"/>
                  </a:lnTo>
                  <a:lnTo>
                    <a:pt x="2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" name="Freeform 532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0 w 23"/>
                <a:gd name="T3" fmla="*/ 1 h 7"/>
                <a:gd name="T4" fmla="*/ 0 w 23"/>
                <a:gd name="T5" fmla="*/ 1 h 7"/>
                <a:gd name="T6" fmla="*/ 3 w 23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7">
                  <a:moveTo>
                    <a:pt x="23" y="0"/>
                  </a:moveTo>
                  <a:lnTo>
                    <a:pt x="1" y="7"/>
                  </a:lnTo>
                  <a:lnTo>
                    <a:pt x="0" y="4"/>
                  </a:lnTo>
                  <a:lnTo>
                    <a:pt x="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" name="Freeform 533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3 w 23"/>
                <a:gd name="T3" fmla="*/ 0 h 7"/>
                <a:gd name="T4" fmla="*/ 0 w 23"/>
                <a:gd name="T5" fmla="*/ 1 h 7"/>
                <a:gd name="T6" fmla="*/ 0 w 23"/>
                <a:gd name="T7" fmla="*/ 1 h 7"/>
                <a:gd name="T8" fmla="*/ 3 w 23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3" h="7">
                  <a:moveTo>
                    <a:pt x="23" y="3"/>
                  </a:moveTo>
                  <a:lnTo>
                    <a:pt x="23" y="0"/>
                  </a:lnTo>
                  <a:lnTo>
                    <a:pt x="0" y="4"/>
                  </a:lnTo>
                  <a:lnTo>
                    <a:pt x="1" y="7"/>
                  </a:lnTo>
                  <a:lnTo>
                    <a:pt x="23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" name="Freeform 534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2"/>
                <a:gd name="T1" fmla="*/ 1 h 6"/>
                <a:gd name="T2" fmla="*/ 3 w 22"/>
                <a:gd name="T3" fmla="*/ 0 h 6"/>
                <a:gd name="T4" fmla="*/ 0 w 22"/>
                <a:gd name="T5" fmla="*/ 2 h 6"/>
                <a:gd name="T6" fmla="*/ 3 w 22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6">
                  <a:moveTo>
                    <a:pt x="22" y="2"/>
                  </a:moveTo>
                  <a:lnTo>
                    <a:pt x="22" y="0"/>
                  </a:lnTo>
                  <a:lnTo>
                    <a:pt x="0" y="6"/>
                  </a:lnTo>
                  <a:lnTo>
                    <a:pt x="2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" name="Freeform 535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2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" name="Freeform 536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2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" name="Freeform 537"/>
            <xdr:cNvSpPr>
              <a:spLocks noChangeAspect="1"/>
            </xdr:cNvSpPr>
          </xdr:nvSpPr>
          <xdr:spPr bwMode="auto">
            <a:xfrm rot="-4882971">
              <a:off x="1630" y="1518"/>
              <a:ext cx="14" cy="3"/>
            </a:xfrm>
            <a:custGeom>
              <a:avLst/>
              <a:gdLst>
                <a:gd name="T0" fmla="*/ 6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" name="Freeform 538"/>
            <xdr:cNvSpPr>
              <a:spLocks noChangeAspect="1"/>
            </xdr:cNvSpPr>
          </xdr:nvSpPr>
          <xdr:spPr bwMode="auto">
            <a:xfrm rot="-4882971">
              <a:off x="1618" y="1507"/>
              <a:ext cx="12" cy="3"/>
            </a:xfrm>
            <a:custGeom>
              <a:avLst/>
              <a:gdLst>
                <a:gd name="T0" fmla="*/ 4 w 33"/>
                <a:gd name="T1" fmla="*/ 0 h 7"/>
                <a:gd name="T2" fmla="*/ 0 w 33"/>
                <a:gd name="T3" fmla="*/ 1 h 7"/>
                <a:gd name="T4" fmla="*/ 0 w 33"/>
                <a:gd name="T5" fmla="*/ 1 h 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3" h="7">
                  <a:moveTo>
                    <a:pt x="33" y="0"/>
                  </a:moveTo>
                  <a:lnTo>
                    <a:pt x="0" y="7"/>
                  </a:lnTo>
                  <a:lnTo>
                    <a:pt x="1" y="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539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4 w 23"/>
                <a:gd name="T1" fmla="*/ 1 h 6"/>
                <a:gd name="T2" fmla="*/ 4 w 23"/>
                <a:gd name="T3" fmla="*/ 0 h 6"/>
                <a:gd name="T4" fmla="*/ 0 w 23"/>
                <a:gd name="T5" fmla="*/ 2 h 6"/>
                <a:gd name="T6" fmla="*/ 4 w 23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6"/>
                  </a:lnTo>
                  <a:lnTo>
                    <a:pt x="2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0" name="Freeform 540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" name="Freeform 541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" name="Freeform 542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2"/>
                <a:gd name="T1" fmla="*/ 1 h 6"/>
                <a:gd name="T2" fmla="*/ 3 w 22"/>
                <a:gd name="T3" fmla="*/ 0 h 6"/>
                <a:gd name="T4" fmla="*/ 0 w 22"/>
                <a:gd name="T5" fmla="*/ 2 h 6"/>
                <a:gd name="T6" fmla="*/ 3 w 22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6">
                  <a:moveTo>
                    <a:pt x="22" y="2"/>
                  </a:moveTo>
                  <a:lnTo>
                    <a:pt x="22" y="0"/>
                  </a:lnTo>
                  <a:lnTo>
                    <a:pt x="0" y="6"/>
                  </a:lnTo>
                  <a:lnTo>
                    <a:pt x="2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3" name="Freeform 543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3"/>
                <a:gd name="T1" fmla="*/ 0 h 6"/>
                <a:gd name="T2" fmla="*/ 0 w 23"/>
                <a:gd name="T3" fmla="*/ 2 h 6"/>
                <a:gd name="T4" fmla="*/ 0 w 23"/>
                <a:gd name="T5" fmla="*/ 1 h 6"/>
                <a:gd name="T6" fmla="*/ 3 w 23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" name="Freeform 544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3"/>
                <a:gd name="T1" fmla="*/ 1 h 6"/>
                <a:gd name="T2" fmla="*/ 3 w 23"/>
                <a:gd name="T3" fmla="*/ 0 h 6"/>
                <a:gd name="T4" fmla="*/ 0 w 23"/>
                <a:gd name="T5" fmla="*/ 1 h 6"/>
                <a:gd name="T6" fmla="*/ 0 w 23"/>
                <a:gd name="T7" fmla="*/ 2 h 6"/>
                <a:gd name="T8" fmla="*/ 3 w 23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3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" name="Freeform 545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3 w 24"/>
                <a:gd name="T7" fmla="*/ 1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8"/>
                  </a:lnTo>
                  <a:lnTo>
                    <a:pt x="24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" name="Freeform 546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0 h 8"/>
                <a:gd name="T2" fmla="*/ 0 w 24"/>
                <a:gd name="T3" fmla="*/ 1 h 8"/>
                <a:gd name="T4" fmla="*/ 0 w 24"/>
                <a:gd name="T5" fmla="*/ 1 h 8"/>
                <a:gd name="T6" fmla="*/ 3 w 24"/>
                <a:gd name="T7" fmla="*/ 0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0"/>
                  </a:moveTo>
                  <a:lnTo>
                    <a:pt x="0" y="8"/>
                  </a:lnTo>
                  <a:lnTo>
                    <a:pt x="0" y="5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" name="Freeform 547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0 w 24"/>
                <a:gd name="T7" fmla="*/ 1 h 8"/>
                <a:gd name="T8" fmla="*/ 3 w 24"/>
                <a:gd name="T9" fmla="*/ 1 h 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5"/>
                  </a:lnTo>
                  <a:lnTo>
                    <a:pt x="0" y="8"/>
                  </a:lnTo>
                  <a:lnTo>
                    <a:pt x="24" y="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" name="Freeform 548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4 w 23"/>
                <a:gd name="T1" fmla="*/ 1 h 6"/>
                <a:gd name="T2" fmla="*/ 4 w 23"/>
                <a:gd name="T3" fmla="*/ 0 h 6"/>
                <a:gd name="T4" fmla="*/ 0 w 23"/>
                <a:gd name="T5" fmla="*/ 2 h 6"/>
                <a:gd name="T6" fmla="*/ 4 w 23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6"/>
                  </a:lnTo>
                  <a:lnTo>
                    <a:pt x="2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9" name="Freeform 549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0" name="Freeform 550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" name="Freeform 551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4 w 22"/>
                <a:gd name="T1" fmla="*/ 0 h 7"/>
                <a:gd name="T2" fmla="*/ 4 w 22"/>
                <a:gd name="T3" fmla="*/ 0 h 7"/>
                <a:gd name="T4" fmla="*/ 0 w 22"/>
                <a:gd name="T5" fmla="*/ 1 h 7"/>
                <a:gd name="T6" fmla="*/ 4 w 2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7">
                  <a:moveTo>
                    <a:pt x="22" y="3"/>
                  </a:moveTo>
                  <a:lnTo>
                    <a:pt x="22" y="0"/>
                  </a:lnTo>
                  <a:lnTo>
                    <a:pt x="0" y="7"/>
                  </a:lnTo>
                  <a:lnTo>
                    <a:pt x="2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" name="Freeform 552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3 w 24"/>
                <a:gd name="T1" fmla="*/ 0 h 7"/>
                <a:gd name="T2" fmla="*/ 0 w 24"/>
                <a:gd name="T3" fmla="*/ 1 h 7"/>
                <a:gd name="T4" fmla="*/ 0 w 24"/>
                <a:gd name="T5" fmla="*/ 1 h 7"/>
                <a:gd name="T6" fmla="*/ 3 w 24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7">
                  <a:moveTo>
                    <a:pt x="24" y="0"/>
                  </a:moveTo>
                  <a:lnTo>
                    <a:pt x="2" y="7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3" name="Freeform 553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3 w 24"/>
                <a:gd name="T1" fmla="*/ 0 h 7"/>
                <a:gd name="T2" fmla="*/ 3 w 24"/>
                <a:gd name="T3" fmla="*/ 0 h 7"/>
                <a:gd name="T4" fmla="*/ 0 w 24"/>
                <a:gd name="T5" fmla="*/ 1 h 7"/>
                <a:gd name="T6" fmla="*/ 0 w 24"/>
                <a:gd name="T7" fmla="*/ 1 h 7"/>
                <a:gd name="T8" fmla="*/ 3 w 24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7">
                  <a:moveTo>
                    <a:pt x="24" y="3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2" y="7"/>
                  </a:lnTo>
                  <a:lnTo>
                    <a:pt x="24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" name="Freeform 554"/>
            <xdr:cNvSpPr>
              <a:spLocks noChangeAspect="1"/>
            </xdr:cNvSpPr>
          </xdr:nvSpPr>
          <xdr:spPr bwMode="auto">
            <a:xfrm rot="-4882971">
              <a:off x="1553" y="1520"/>
              <a:ext cx="12" cy="3"/>
            </a:xfrm>
            <a:custGeom>
              <a:avLst/>
              <a:gdLst>
                <a:gd name="T0" fmla="*/ 4 w 36"/>
                <a:gd name="T1" fmla="*/ 0 h 7"/>
                <a:gd name="T2" fmla="*/ 0 w 36"/>
                <a:gd name="T3" fmla="*/ 1 h 7"/>
                <a:gd name="T4" fmla="*/ 0 w 36"/>
                <a:gd name="T5" fmla="*/ 1 h 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6" h="7">
                  <a:moveTo>
                    <a:pt x="36" y="0"/>
                  </a:moveTo>
                  <a:lnTo>
                    <a:pt x="0" y="7"/>
                  </a:lnTo>
                  <a:lnTo>
                    <a:pt x="1" y="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5" name="Freeform 555"/>
            <xdr:cNvSpPr>
              <a:spLocks noChangeAspect="1"/>
            </xdr:cNvSpPr>
          </xdr:nvSpPr>
          <xdr:spPr bwMode="auto">
            <a:xfrm rot="-4882971">
              <a:off x="1563" y="1507"/>
              <a:ext cx="12" cy="3"/>
            </a:xfrm>
            <a:custGeom>
              <a:avLst/>
              <a:gdLst>
                <a:gd name="T0" fmla="*/ 4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" name="Freeform 556"/>
            <xdr:cNvSpPr>
              <a:spLocks noChangeAspect="1"/>
            </xdr:cNvSpPr>
          </xdr:nvSpPr>
          <xdr:spPr bwMode="auto">
            <a:xfrm rot="-4882971">
              <a:off x="1563" y="1507"/>
              <a:ext cx="12" cy="3"/>
            </a:xfrm>
            <a:custGeom>
              <a:avLst/>
              <a:gdLst>
                <a:gd name="T0" fmla="*/ 4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7" name="Freeform 557"/>
            <xdr:cNvSpPr>
              <a:spLocks noChangeAspect="1"/>
            </xdr:cNvSpPr>
          </xdr:nvSpPr>
          <xdr:spPr bwMode="auto">
            <a:xfrm rot="-4882971">
              <a:off x="1384" y="1495"/>
              <a:ext cx="21" cy="3"/>
            </a:xfrm>
            <a:custGeom>
              <a:avLst/>
              <a:gdLst>
                <a:gd name="T0" fmla="*/ 8 w 53"/>
                <a:gd name="T1" fmla="*/ 0 h 10"/>
                <a:gd name="T2" fmla="*/ 0 w 53"/>
                <a:gd name="T3" fmla="*/ 1 h 10"/>
                <a:gd name="T4" fmla="*/ 0 w 53"/>
                <a:gd name="T5" fmla="*/ 1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3" h="10">
                  <a:moveTo>
                    <a:pt x="53" y="0"/>
                  </a:moveTo>
                  <a:lnTo>
                    <a:pt x="0" y="10"/>
                  </a:lnTo>
                  <a:lnTo>
                    <a:pt x="1" y="1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8" name="Freeform 558"/>
            <xdr:cNvSpPr>
              <a:spLocks noChangeAspect="1"/>
            </xdr:cNvSpPr>
          </xdr:nvSpPr>
          <xdr:spPr bwMode="auto">
            <a:xfrm rot="-4882971">
              <a:off x="1353" y="1453"/>
              <a:ext cx="26" cy="18"/>
            </a:xfrm>
            <a:custGeom>
              <a:avLst/>
              <a:gdLst>
                <a:gd name="T0" fmla="*/ 9 w 74"/>
                <a:gd name="T1" fmla="*/ 7 h 45"/>
                <a:gd name="T2" fmla="*/ 7 w 74"/>
                <a:gd name="T3" fmla="*/ 3 h 45"/>
                <a:gd name="T4" fmla="*/ 4 w 74"/>
                <a:gd name="T5" fmla="*/ 0 h 45"/>
                <a:gd name="T6" fmla="*/ 0 w 74"/>
                <a:gd name="T7" fmla="*/ 0 h 45"/>
                <a:gd name="T8" fmla="*/ 0 w 74"/>
                <a:gd name="T9" fmla="*/ 0 h 4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74" h="45">
                  <a:moveTo>
                    <a:pt x="74" y="45"/>
                  </a:moveTo>
                  <a:lnTo>
                    <a:pt x="58" y="19"/>
                  </a:lnTo>
                  <a:lnTo>
                    <a:pt x="31" y="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9" name="Freeform 559"/>
            <xdr:cNvSpPr>
              <a:spLocks noChangeAspect="1"/>
            </xdr:cNvSpPr>
          </xdr:nvSpPr>
          <xdr:spPr bwMode="auto">
            <a:xfrm rot="-4882971">
              <a:off x="1831" y="1461"/>
              <a:ext cx="3" cy="24"/>
            </a:xfrm>
            <a:custGeom>
              <a:avLst/>
              <a:gdLst>
                <a:gd name="T0" fmla="*/ 0 w 10"/>
                <a:gd name="T1" fmla="*/ 10 h 56"/>
                <a:gd name="T2" fmla="*/ 1 w 10"/>
                <a:gd name="T3" fmla="*/ 0 h 56"/>
                <a:gd name="T4" fmla="*/ 1 w 10"/>
                <a:gd name="T5" fmla="*/ 0 h 5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0" h="56">
                  <a:moveTo>
                    <a:pt x="0" y="56"/>
                  </a:moveTo>
                  <a:lnTo>
                    <a:pt x="9" y="0"/>
                  </a:lnTo>
                  <a:lnTo>
                    <a:pt x="1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560"/>
            <xdr:cNvSpPr>
              <a:spLocks noChangeAspect="1"/>
            </xdr:cNvSpPr>
          </xdr:nvSpPr>
          <xdr:spPr bwMode="auto">
            <a:xfrm rot="-4882971">
              <a:off x="1843" y="1449"/>
              <a:ext cx="32" cy="26"/>
            </a:xfrm>
            <a:custGeom>
              <a:avLst/>
              <a:gdLst>
                <a:gd name="T0" fmla="*/ 0 w 89"/>
                <a:gd name="T1" fmla="*/ 0 h 60"/>
                <a:gd name="T2" fmla="*/ 0 w 89"/>
                <a:gd name="T3" fmla="*/ 6 h 60"/>
                <a:gd name="T4" fmla="*/ 3 w 89"/>
                <a:gd name="T5" fmla="*/ 10 h 60"/>
                <a:gd name="T6" fmla="*/ 7 w 89"/>
                <a:gd name="T7" fmla="*/ 11 h 60"/>
                <a:gd name="T8" fmla="*/ 10 w 89"/>
                <a:gd name="T9" fmla="*/ 8 h 60"/>
                <a:gd name="T10" fmla="*/ 12 w 89"/>
                <a:gd name="T11" fmla="*/ 2 h 60"/>
                <a:gd name="T12" fmla="*/ 12 w 89"/>
                <a:gd name="T13" fmla="*/ 2 h 60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89" h="60">
                  <a:moveTo>
                    <a:pt x="1" y="0"/>
                  </a:moveTo>
                  <a:lnTo>
                    <a:pt x="0" y="31"/>
                  </a:lnTo>
                  <a:lnTo>
                    <a:pt x="21" y="56"/>
                  </a:lnTo>
                  <a:lnTo>
                    <a:pt x="52" y="60"/>
                  </a:lnTo>
                  <a:lnTo>
                    <a:pt x="79" y="42"/>
                  </a:lnTo>
                  <a:lnTo>
                    <a:pt x="88" y="12"/>
                  </a:lnTo>
                  <a:lnTo>
                    <a:pt x="89" y="1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1" name="Freeform 561"/>
            <xdr:cNvSpPr>
              <a:spLocks noChangeAspect="1"/>
            </xdr:cNvSpPr>
          </xdr:nvSpPr>
          <xdr:spPr bwMode="auto">
            <a:xfrm rot="-4882971">
              <a:off x="1549" y="1244"/>
              <a:ext cx="77" cy="460"/>
            </a:xfrm>
            <a:custGeom>
              <a:avLst/>
              <a:gdLst>
                <a:gd name="T0" fmla="*/ 27 w 219"/>
                <a:gd name="T1" fmla="*/ 188 h 1128"/>
                <a:gd name="T2" fmla="*/ 22 w 219"/>
                <a:gd name="T3" fmla="*/ 124 h 1128"/>
                <a:gd name="T4" fmla="*/ 13 w 219"/>
                <a:gd name="T5" fmla="*/ 62 h 1128"/>
                <a:gd name="T6" fmla="*/ 0 w 219"/>
                <a:gd name="T7" fmla="*/ 0 h 1128"/>
                <a:gd name="T8" fmla="*/ 0 w 219"/>
                <a:gd name="T9" fmla="*/ 0 h 112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19" h="1128">
                  <a:moveTo>
                    <a:pt x="219" y="1128"/>
                  </a:moveTo>
                  <a:lnTo>
                    <a:pt x="179" y="746"/>
                  </a:lnTo>
                  <a:lnTo>
                    <a:pt x="106" y="370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" name="Freeform 562"/>
            <xdr:cNvSpPr>
              <a:spLocks noChangeAspect="1"/>
            </xdr:cNvSpPr>
          </xdr:nvSpPr>
          <xdr:spPr bwMode="auto">
            <a:xfrm rot="-4882971">
              <a:off x="1794" y="1389"/>
              <a:ext cx="11" cy="109"/>
            </a:xfrm>
            <a:custGeom>
              <a:avLst/>
              <a:gdLst>
                <a:gd name="T0" fmla="*/ 4 w 28"/>
                <a:gd name="T1" fmla="*/ 45 h 266"/>
                <a:gd name="T2" fmla="*/ 0 w 28"/>
                <a:gd name="T3" fmla="*/ 0 h 266"/>
                <a:gd name="T4" fmla="*/ 0 w 28"/>
                <a:gd name="T5" fmla="*/ 0 h 26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8" h="266">
                  <a:moveTo>
                    <a:pt x="28" y="266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3" name="Freeform 563"/>
            <xdr:cNvSpPr>
              <a:spLocks noChangeAspect="1"/>
            </xdr:cNvSpPr>
          </xdr:nvSpPr>
          <xdr:spPr bwMode="auto">
            <a:xfrm>
              <a:off x="1783" y="1478"/>
              <a:ext cx="116" cy="0"/>
            </a:xfrm>
            <a:custGeom>
              <a:avLst/>
              <a:gdLst>
                <a:gd name="T0" fmla="*/ 0 w 332"/>
                <a:gd name="T1" fmla="*/ 41 w 332"/>
                <a:gd name="T2" fmla="*/ 41 w 33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332">
                  <a:moveTo>
                    <a:pt x="0" y="0"/>
                  </a:moveTo>
                  <a:lnTo>
                    <a:pt x="331" y="0"/>
                  </a:lnTo>
                  <a:lnTo>
                    <a:pt x="33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4" name="Freeform 564"/>
            <xdr:cNvSpPr>
              <a:spLocks noChangeAspect="1"/>
            </xdr:cNvSpPr>
          </xdr:nvSpPr>
          <xdr:spPr bwMode="auto">
            <a:xfrm>
              <a:off x="1899" y="1478"/>
              <a:ext cx="32" cy="34"/>
            </a:xfrm>
            <a:custGeom>
              <a:avLst/>
              <a:gdLst>
                <a:gd name="T0" fmla="*/ 12 w 84"/>
                <a:gd name="T1" fmla="*/ 13 h 87"/>
                <a:gd name="T2" fmla="*/ 11 w 84"/>
                <a:gd name="T3" fmla="*/ 7 h 87"/>
                <a:gd name="T4" fmla="*/ 6 w 84"/>
                <a:gd name="T5" fmla="*/ 2 h 87"/>
                <a:gd name="T6" fmla="*/ 0 w 84"/>
                <a:gd name="T7" fmla="*/ 0 h 87"/>
                <a:gd name="T8" fmla="*/ 0 w 84"/>
                <a:gd name="T9" fmla="*/ 0 h 8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87">
                  <a:moveTo>
                    <a:pt x="84" y="87"/>
                  </a:moveTo>
                  <a:lnTo>
                    <a:pt x="75" y="44"/>
                  </a:lnTo>
                  <a:lnTo>
                    <a:pt x="43" y="11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5" name="Freeform 565"/>
            <xdr:cNvSpPr>
              <a:spLocks noChangeAspect="1"/>
            </xdr:cNvSpPr>
          </xdr:nvSpPr>
          <xdr:spPr bwMode="auto">
            <a:xfrm>
              <a:off x="1314" y="1478"/>
              <a:ext cx="32" cy="34"/>
            </a:xfrm>
            <a:custGeom>
              <a:avLst/>
              <a:gdLst>
                <a:gd name="T0" fmla="*/ 12 w 84"/>
                <a:gd name="T1" fmla="*/ 0 h 87"/>
                <a:gd name="T2" fmla="*/ 6 w 84"/>
                <a:gd name="T3" fmla="*/ 2 h 87"/>
                <a:gd name="T4" fmla="*/ 1 w 84"/>
                <a:gd name="T5" fmla="*/ 7 h 87"/>
                <a:gd name="T6" fmla="*/ 0 w 84"/>
                <a:gd name="T7" fmla="*/ 13 h 87"/>
                <a:gd name="T8" fmla="*/ 0 w 84"/>
                <a:gd name="T9" fmla="*/ 13 h 8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87">
                  <a:moveTo>
                    <a:pt x="84" y="0"/>
                  </a:moveTo>
                  <a:lnTo>
                    <a:pt x="41" y="11"/>
                  </a:lnTo>
                  <a:lnTo>
                    <a:pt x="9" y="44"/>
                  </a:lnTo>
                  <a:lnTo>
                    <a:pt x="0" y="87"/>
                  </a:lnTo>
                  <a:lnTo>
                    <a:pt x="1" y="8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6" name="Freeform 566"/>
            <xdr:cNvSpPr>
              <a:spLocks noChangeAspect="1"/>
            </xdr:cNvSpPr>
          </xdr:nvSpPr>
          <xdr:spPr bwMode="auto">
            <a:xfrm>
              <a:off x="1346" y="1478"/>
              <a:ext cx="48" cy="0"/>
            </a:xfrm>
            <a:custGeom>
              <a:avLst/>
              <a:gdLst>
                <a:gd name="T0" fmla="*/ 0 w 134"/>
                <a:gd name="T1" fmla="*/ 17 w 134"/>
                <a:gd name="T2" fmla="*/ 17 w 13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34">
                  <a:moveTo>
                    <a:pt x="0" y="0"/>
                  </a:moveTo>
                  <a:lnTo>
                    <a:pt x="133" y="0"/>
                  </a:lnTo>
                  <a:lnTo>
                    <a:pt x="13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7" name="Freeform 567"/>
            <xdr:cNvSpPr>
              <a:spLocks noChangeAspect="1"/>
            </xdr:cNvSpPr>
          </xdr:nvSpPr>
          <xdr:spPr bwMode="auto">
            <a:xfrm>
              <a:off x="1914" y="1627"/>
              <a:ext cx="849" cy="0"/>
            </a:xfrm>
            <a:custGeom>
              <a:avLst/>
              <a:gdLst>
                <a:gd name="T0" fmla="*/ 0 w 1830"/>
                <a:gd name="T1" fmla="*/ 394 w 1830"/>
                <a:gd name="T2" fmla="*/ 394 w 183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830">
                  <a:moveTo>
                    <a:pt x="0" y="0"/>
                  </a:moveTo>
                  <a:lnTo>
                    <a:pt x="1829" y="0"/>
                  </a:lnTo>
                  <a:lnTo>
                    <a:pt x="183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8" name="Freeform 568"/>
            <xdr:cNvSpPr>
              <a:spLocks noChangeAspect="1"/>
            </xdr:cNvSpPr>
          </xdr:nvSpPr>
          <xdr:spPr bwMode="auto">
            <a:xfrm>
              <a:off x="3480" y="1627"/>
              <a:ext cx="100" cy="106"/>
            </a:xfrm>
            <a:custGeom>
              <a:avLst/>
              <a:gdLst>
                <a:gd name="T0" fmla="*/ 35 w 282"/>
                <a:gd name="T1" fmla="*/ 44 h 255"/>
                <a:gd name="T2" fmla="*/ 33 w 282"/>
                <a:gd name="T3" fmla="*/ 30 h 255"/>
                <a:gd name="T4" fmla="*/ 28 w 282"/>
                <a:gd name="T5" fmla="*/ 18 h 255"/>
                <a:gd name="T6" fmla="*/ 20 w 282"/>
                <a:gd name="T7" fmla="*/ 8 h 255"/>
                <a:gd name="T8" fmla="*/ 10 w 282"/>
                <a:gd name="T9" fmla="*/ 2 h 255"/>
                <a:gd name="T10" fmla="*/ 0 w 282"/>
                <a:gd name="T11" fmla="*/ 0 h 255"/>
                <a:gd name="T12" fmla="*/ 0 w 282"/>
                <a:gd name="T13" fmla="*/ 0 h 25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2" h="255">
                  <a:moveTo>
                    <a:pt x="282" y="255"/>
                  </a:moveTo>
                  <a:lnTo>
                    <a:pt x="263" y="175"/>
                  </a:lnTo>
                  <a:lnTo>
                    <a:pt x="220" y="103"/>
                  </a:lnTo>
                  <a:lnTo>
                    <a:pt x="158" y="48"/>
                  </a:lnTo>
                  <a:lnTo>
                    <a:pt x="82" y="1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9" name="Freeform 569"/>
            <xdr:cNvSpPr>
              <a:spLocks noChangeAspect="1"/>
            </xdr:cNvSpPr>
          </xdr:nvSpPr>
          <xdr:spPr bwMode="auto">
            <a:xfrm>
              <a:off x="3609" y="1987"/>
              <a:ext cx="5" cy="74"/>
            </a:xfrm>
            <a:custGeom>
              <a:avLst/>
              <a:gdLst>
                <a:gd name="T0" fmla="*/ 2 w 16"/>
                <a:gd name="T1" fmla="*/ 30 h 183"/>
                <a:gd name="T2" fmla="*/ 0 w 16"/>
                <a:gd name="T3" fmla="*/ 0 h 183"/>
                <a:gd name="T4" fmla="*/ 0 w 16"/>
                <a:gd name="T5" fmla="*/ 0 h 183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6" h="183">
                  <a:moveTo>
                    <a:pt x="16" y="183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0" name="Freeform 570"/>
            <xdr:cNvSpPr>
              <a:spLocks noChangeAspect="1"/>
            </xdr:cNvSpPr>
          </xdr:nvSpPr>
          <xdr:spPr bwMode="auto">
            <a:xfrm>
              <a:off x="3603" y="1981"/>
              <a:ext cx="6" cy="6"/>
            </a:xfrm>
            <a:custGeom>
              <a:avLst/>
              <a:gdLst>
                <a:gd name="T0" fmla="*/ 3 w 11"/>
                <a:gd name="T1" fmla="*/ 3 h 13"/>
                <a:gd name="T2" fmla="*/ 2 w 11"/>
                <a:gd name="T3" fmla="*/ 1 h 13"/>
                <a:gd name="T4" fmla="*/ 0 w 11"/>
                <a:gd name="T5" fmla="*/ 0 h 13"/>
                <a:gd name="T6" fmla="*/ 1 w 11"/>
                <a:gd name="T7" fmla="*/ 0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13">
                  <a:moveTo>
                    <a:pt x="11" y="13"/>
                  </a:moveTo>
                  <a:lnTo>
                    <a:pt x="8" y="5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1" name="Freeform 571"/>
            <xdr:cNvSpPr>
              <a:spLocks noChangeAspect="1"/>
            </xdr:cNvSpPr>
          </xdr:nvSpPr>
          <xdr:spPr bwMode="auto">
            <a:xfrm>
              <a:off x="3600" y="1977"/>
              <a:ext cx="3" cy="4"/>
            </a:xfrm>
            <a:custGeom>
              <a:avLst/>
              <a:gdLst>
                <a:gd name="T0" fmla="*/ 0 w 11"/>
                <a:gd name="T1" fmla="*/ 0 h 12"/>
                <a:gd name="T2" fmla="*/ 0 w 11"/>
                <a:gd name="T3" fmla="*/ 1 h 12"/>
                <a:gd name="T4" fmla="*/ 1 w 11"/>
                <a:gd name="T5" fmla="*/ 1 h 12"/>
                <a:gd name="T6" fmla="*/ 1 w 11"/>
                <a:gd name="T7" fmla="*/ 1 h 12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12">
                  <a:moveTo>
                    <a:pt x="0" y="0"/>
                  </a:moveTo>
                  <a:lnTo>
                    <a:pt x="3" y="8"/>
                  </a:lnTo>
                  <a:lnTo>
                    <a:pt x="10" y="12"/>
                  </a:lnTo>
                  <a:lnTo>
                    <a:pt x="11" y="1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2" name="Freeform 572"/>
            <xdr:cNvSpPr>
              <a:spLocks noChangeAspect="1"/>
            </xdr:cNvSpPr>
          </xdr:nvSpPr>
          <xdr:spPr bwMode="auto">
            <a:xfrm>
              <a:off x="3580" y="1733"/>
              <a:ext cx="20" cy="244"/>
            </a:xfrm>
            <a:custGeom>
              <a:avLst/>
              <a:gdLst>
                <a:gd name="T0" fmla="*/ 7 w 54"/>
                <a:gd name="T1" fmla="*/ 99 h 602"/>
                <a:gd name="T2" fmla="*/ 0 w 54"/>
                <a:gd name="T3" fmla="*/ 0 h 602"/>
                <a:gd name="T4" fmla="*/ 0 w 54"/>
                <a:gd name="T5" fmla="*/ 0 h 60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602">
                  <a:moveTo>
                    <a:pt x="54" y="602"/>
                  </a:moveTo>
                  <a:lnTo>
                    <a:pt x="0" y="0"/>
                  </a:lnTo>
                  <a:lnTo>
                    <a:pt x="2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3" name="Freeform 573"/>
            <xdr:cNvSpPr>
              <a:spLocks noChangeAspect="1"/>
            </xdr:cNvSpPr>
          </xdr:nvSpPr>
          <xdr:spPr bwMode="auto">
            <a:xfrm>
              <a:off x="3549" y="2061"/>
              <a:ext cx="65" cy="834"/>
            </a:xfrm>
            <a:custGeom>
              <a:avLst/>
              <a:gdLst>
                <a:gd name="T0" fmla="*/ 23 w 180"/>
                <a:gd name="T1" fmla="*/ 0 h 2044"/>
                <a:gd name="T2" fmla="*/ 0 w 180"/>
                <a:gd name="T3" fmla="*/ 340 h 2044"/>
                <a:gd name="T4" fmla="*/ 0 w 180"/>
                <a:gd name="T5" fmla="*/ 340 h 20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80" h="2044">
                  <a:moveTo>
                    <a:pt x="180" y="0"/>
                  </a:moveTo>
                  <a:lnTo>
                    <a:pt x="0" y="2044"/>
                  </a:lnTo>
                  <a:lnTo>
                    <a:pt x="1" y="2044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4" name="Freeform 574"/>
            <xdr:cNvSpPr>
              <a:spLocks noChangeAspect="1"/>
            </xdr:cNvSpPr>
          </xdr:nvSpPr>
          <xdr:spPr bwMode="auto">
            <a:xfrm>
              <a:off x="1115" y="1627"/>
              <a:ext cx="99" cy="106"/>
            </a:xfrm>
            <a:custGeom>
              <a:avLst/>
              <a:gdLst>
                <a:gd name="T0" fmla="*/ 35 w 282"/>
                <a:gd name="T1" fmla="*/ 0 h 255"/>
                <a:gd name="T2" fmla="*/ 25 w 282"/>
                <a:gd name="T3" fmla="*/ 2 h 255"/>
                <a:gd name="T4" fmla="*/ 15 w 282"/>
                <a:gd name="T5" fmla="*/ 8 h 255"/>
                <a:gd name="T6" fmla="*/ 8 w 282"/>
                <a:gd name="T7" fmla="*/ 18 h 255"/>
                <a:gd name="T8" fmla="*/ 2 w 282"/>
                <a:gd name="T9" fmla="*/ 30 h 255"/>
                <a:gd name="T10" fmla="*/ 0 w 282"/>
                <a:gd name="T11" fmla="*/ 44 h 255"/>
                <a:gd name="T12" fmla="*/ 0 w 282"/>
                <a:gd name="T13" fmla="*/ 44 h 25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2" h="255">
                  <a:moveTo>
                    <a:pt x="282" y="0"/>
                  </a:moveTo>
                  <a:lnTo>
                    <a:pt x="200" y="12"/>
                  </a:lnTo>
                  <a:lnTo>
                    <a:pt x="124" y="48"/>
                  </a:lnTo>
                  <a:lnTo>
                    <a:pt x="62" y="103"/>
                  </a:lnTo>
                  <a:lnTo>
                    <a:pt x="19" y="175"/>
                  </a:lnTo>
                  <a:lnTo>
                    <a:pt x="0" y="255"/>
                  </a:lnTo>
                  <a:lnTo>
                    <a:pt x="1" y="255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5" name="Freeform 575"/>
            <xdr:cNvSpPr>
              <a:spLocks noChangeAspect="1"/>
            </xdr:cNvSpPr>
          </xdr:nvSpPr>
          <xdr:spPr bwMode="auto">
            <a:xfrm>
              <a:off x="1146" y="2895"/>
              <a:ext cx="100" cy="105"/>
            </a:xfrm>
            <a:custGeom>
              <a:avLst/>
              <a:gdLst>
                <a:gd name="T0" fmla="*/ 0 w 284"/>
                <a:gd name="T1" fmla="*/ 0 h 257"/>
                <a:gd name="T2" fmla="*/ 2 w 284"/>
                <a:gd name="T3" fmla="*/ 13 h 257"/>
                <a:gd name="T4" fmla="*/ 8 w 284"/>
                <a:gd name="T5" fmla="*/ 25 h 257"/>
                <a:gd name="T6" fmla="*/ 15 w 284"/>
                <a:gd name="T7" fmla="*/ 35 h 257"/>
                <a:gd name="T8" fmla="*/ 25 w 284"/>
                <a:gd name="T9" fmla="*/ 41 h 257"/>
                <a:gd name="T10" fmla="*/ 35 w 284"/>
                <a:gd name="T11" fmla="*/ 43 h 257"/>
                <a:gd name="T12" fmla="*/ 35 w 284"/>
                <a:gd name="T13" fmla="*/ 43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0"/>
                  </a:moveTo>
                  <a:lnTo>
                    <a:pt x="20" y="81"/>
                  </a:lnTo>
                  <a:lnTo>
                    <a:pt x="62" y="152"/>
                  </a:lnTo>
                  <a:lnTo>
                    <a:pt x="124" y="209"/>
                  </a:lnTo>
                  <a:lnTo>
                    <a:pt x="200" y="244"/>
                  </a:lnTo>
                  <a:lnTo>
                    <a:pt x="283" y="257"/>
                  </a:lnTo>
                  <a:lnTo>
                    <a:pt x="284" y="25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6" name="Freeform 576"/>
            <xdr:cNvSpPr>
              <a:spLocks noChangeAspect="1"/>
            </xdr:cNvSpPr>
          </xdr:nvSpPr>
          <xdr:spPr bwMode="auto">
            <a:xfrm>
              <a:off x="1714" y="3131"/>
              <a:ext cx="28" cy="32"/>
            </a:xfrm>
            <a:custGeom>
              <a:avLst/>
              <a:gdLst>
                <a:gd name="T0" fmla="*/ 10 w 81"/>
                <a:gd name="T1" fmla="*/ 0 h 77"/>
                <a:gd name="T2" fmla="*/ 5 w 81"/>
                <a:gd name="T3" fmla="*/ 2 h 77"/>
                <a:gd name="T4" fmla="*/ 1 w 81"/>
                <a:gd name="T5" fmla="*/ 7 h 77"/>
                <a:gd name="T6" fmla="*/ 0 w 81"/>
                <a:gd name="T7" fmla="*/ 13 h 77"/>
                <a:gd name="T8" fmla="*/ 0 w 81"/>
                <a:gd name="T9" fmla="*/ 13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1" h="77">
                  <a:moveTo>
                    <a:pt x="81" y="0"/>
                  </a:moveTo>
                  <a:lnTo>
                    <a:pt x="42" y="12"/>
                  </a:lnTo>
                  <a:lnTo>
                    <a:pt x="13" y="39"/>
                  </a:lnTo>
                  <a:lnTo>
                    <a:pt x="0" y="77"/>
                  </a:lnTo>
                  <a:lnTo>
                    <a:pt x="1" y="7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7" name="Freeform 577"/>
            <xdr:cNvSpPr>
              <a:spLocks noChangeAspect="1"/>
            </xdr:cNvSpPr>
          </xdr:nvSpPr>
          <xdr:spPr bwMode="auto">
            <a:xfrm>
              <a:off x="3366" y="3035"/>
              <a:ext cx="29" cy="35"/>
            </a:xfrm>
            <a:custGeom>
              <a:avLst/>
              <a:gdLst>
                <a:gd name="T0" fmla="*/ 0 w 83"/>
                <a:gd name="T1" fmla="*/ 14 h 85"/>
                <a:gd name="T2" fmla="*/ 5 w 83"/>
                <a:gd name="T3" fmla="*/ 12 h 85"/>
                <a:gd name="T4" fmla="*/ 9 w 83"/>
                <a:gd name="T5" fmla="*/ 7 h 85"/>
                <a:gd name="T6" fmla="*/ 10 w 83"/>
                <a:gd name="T7" fmla="*/ 0 h 85"/>
                <a:gd name="T8" fmla="*/ 10 w 83"/>
                <a:gd name="T9" fmla="*/ 0 h 8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3" h="85">
                  <a:moveTo>
                    <a:pt x="0" y="85"/>
                  </a:moveTo>
                  <a:lnTo>
                    <a:pt x="41" y="72"/>
                  </a:lnTo>
                  <a:lnTo>
                    <a:pt x="71" y="42"/>
                  </a:lnTo>
                  <a:lnTo>
                    <a:pt x="82" y="0"/>
                  </a:lnTo>
                  <a:lnTo>
                    <a:pt x="83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8" name="Freeform 578"/>
            <xdr:cNvSpPr>
              <a:spLocks noChangeAspect="1"/>
            </xdr:cNvSpPr>
          </xdr:nvSpPr>
          <xdr:spPr bwMode="auto">
            <a:xfrm>
              <a:off x="1742" y="3070"/>
              <a:ext cx="1624" cy="61"/>
            </a:xfrm>
            <a:custGeom>
              <a:avLst/>
              <a:gdLst>
                <a:gd name="T0" fmla="*/ 580 w 4545"/>
                <a:gd name="T1" fmla="*/ 0 h 156"/>
                <a:gd name="T2" fmla="*/ 0 w 4545"/>
                <a:gd name="T3" fmla="*/ 24 h 156"/>
                <a:gd name="T4" fmla="*/ 0 w 4545"/>
                <a:gd name="T5" fmla="*/ 24 h 15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545" h="156">
                  <a:moveTo>
                    <a:pt x="4545" y="0"/>
                  </a:moveTo>
                  <a:lnTo>
                    <a:pt x="0" y="156"/>
                  </a:lnTo>
                  <a:lnTo>
                    <a:pt x="1" y="156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9" name="Freeform 579"/>
            <xdr:cNvSpPr>
              <a:spLocks noChangeAspect="1"/>
            </xdr:cNvSpPr>
          </xdr:nvSpPr>
          <xdr:spPr bwMode="auto">
            <a:xfrm>
              <a:off x="3395" y="3000"/>
              <a:ext cx="31" cy="35"/>
            </a:xfrm>
            <a:custGeom>
              <a:avLst/>
              <a:gdLst>
                <a:gd name="T0" fmla="*/ 11 w 85"/>
                <a:gd name="T1" fmla="*/ 0 h 83"/>
                <a:gd name="T2" fmla="*/ 5 w 85"/>
                <a:gd name="T3" fmla="*/ 2 h 83"/>
                <a:gd name="T4" fmla="*/ 1 w 85"/>
                <a:gd name="T5" fmla="*/ 7 h 83"/>
                <a:gd name="T6" fmla="*/ 0 w 85"/>
                <a:gd name="T7" fmla="*/ 15 h 83"/>
                <a:gd name="T8" fmla="*/ 0 w 85"/>
                <a:gd name="T9" fmla="*/ 15 h 8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5" h="83">
                  <a:moveTo>
                    <a:pt x="85" y="0"/>
                  </a:moveTo>
                  <a:lnTo>
                    <a:pt x="42" y="10"/>
                  </a:lnTo>
                  <a:lnTo>
                    <a:pt x="11" y="41"/>
                  </a:lnTo>
                  <a:lnTo>
                    <a:pt x="0" y="83"/>
                  </a:lnTo>
                  <a:lnTo>
                    <a:pt x="1" y="83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" name="Freeform 580"/>
            <xdr:cNvSpPr>
              <a:spLocks noChangeAspect="1"/>
            </xdr:cNvSpPr>
          </xdr:nvSpPr>
          <xdr:spPr bwMode="auto">
            <a:xfrm>
              <a:off x="3426" y="3000"/>
              <a:ext cx="22" cy="0"/>
            </a:xfrm>
            <a:custGeom>
              <a:avLst/>
              <a:gdLst>
                <a:gd name="T0" fmla="*/ 0 w 62"/>
                <a:gd name="T1" fmla="*/ 8 w 62"/>
                <a:gd name="T2" fmla="*/ 8 w 6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62">
                  <a:moveTo>
                    <a:pt x="0" y="0"/>
                  </a:moveTo>
                  <a:lnTo>
                    <a:pt x="61" y="0"/>
                  </a:lnTo>
                  <a:lnTo>
                    <a:pt x="62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" name="Freeform 581"/>
            <xdr:cNvSpPr>
              <a:spLocks noChangeAspect="1"/>
            </xdr:cNvSpPr>
          </xdr:nvSpPr>
          <xdr:spPr bwMode="auto">
            <a:xfrm>
              <a:off x="1679" y="3198"/>
              <a:ext cx="32" cy="31"/>
            </a:xfrm>
            <a:custGeom>
              <a:avLst/>
              <a:gdLst>
                <a:gd name="T0" fmla="*/ 0 w 86"/>
                <a:gd name="T1" fmla="*/ 12 h 77"/>
                <a:gd name="T2" fmla="*/ 6 w 86"/>
                <a:gd name="T3" fmla="*/ 11 h 77"/>
                <a:gd name="T4" fmla="*/ 10 w 86"/>
                <a:gd name="T5" fmla="*/ 6 h 77"/>
                <a:gd name="T6" fmla="*/ 12 w 86"/>
                <a:gd name="T7" fmla="*/ 0 h 77"/>
                <a:gd name="T8" fmla="*/ 12 w 86"/>
                <a:gd name="T9" fmla="*/ 0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6" h="77">
                  <a:moveTo>
                    <a:pt x="0" y="77"/>
                  </a:moveTo>
                  <a:lnTo>
                    <a:pt x="40" y="67"/>
                  </a:lnTo>
                  <a:lnTo>
                    <a:pt x="70" y="39"/>
                  </a:lnTo>
                  <a:lnTo>
                    <a:pt x="85" y="0"/>
                  </a:lnTo>
                  <a:lnTo>
                    <a:pt x="86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" name="Freeform 582"/>
            <xdr:cNvSpPr>
              <a:spLocks noChangeAspect="1"/>
            </xdr:cNvSpPr>
          </xdr:nvSpPr>
          <xdr:spPr bwMode="auto">
            <a:xfrm>
              <a:off x="1300" y="3198"/>
              <a:ext cx="32" cy="31"/>
            </a:xfrm>
            <a:custGeom>
              <a:avLst/>
              <a:gdLst>
                <a:gd name="T0" fmla="*/ 0 w 85"/>
                <a:gd name="T1" fmla="*/ 0 h 77"/>
                <a:gd name="T2" fmla="*/ 2 w 85"/>
                <a:gd name="T3" fmla="*/ 6 h 77"/>
                <a:gd name="T4" fmla="*/ 6 w 85"/>
                <a:gd name="T5" fmla="*/ 11 h 77"/>
                <a:gd name="T6" fmla="*/ 12 w 85"/>
                <a:gd name="T7" fmla="*/ 12 h 77"/>
                <a:gd name="T8" fmla="*/ 12 w 85"/>
                <a:gd name="T9" fmla="*/ 12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5" h="77">
                  <a:moveTo>
                    <a:pt x="0" y="0"/>
                  </a:moveTo>
                  <a:lnTo>
                    <a:pt x="13" y="39"/>
                  </a:lnTo>
                  <a:lnTo>
                    <a:pt x="44" y="67"/>
                  </a:lnTo>
                  <a:lnTo>
                    <a:pt x="84" y="77"/>
                  </a:lnTo>
                  <a:lnTo>
                    <a:pt x="85" y="7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" name="Freeform 583"/>
            <xdr:cNvSpPr>
              <a:spLocks noChangeAspect="1"/>
            </xdr:cNvSpPr>
          </xdr:nvSpPr>
          <xdr:spPr bwMode="auto">
            <a:xfrm>
              <a:off x="1711" y="3163"/>
              <a:ext cx="3" cy="35"/>
            </a:xfrm>
            <a:custGeom>
              <a:avLst/>
              <a:gdLst>
                <a:gd name="T0" fmla="*/ 1 w 7"/>
                <a:gd name="T1" fmla="*/ 0 h 82"/>
                <a:gd name="T2" fmla="*/ 0 w 7"/>
                <a:gd name="T3" fmla="*/ 15 h 82"/>
                <a:gd name="T4" fmla="*/ 0 w 7"/>
                <a:gd name="T5" fmla="*/ 15 h 8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82">
                  <a:moveTo>
                    <a:pt x="7" y="0"/>
                  </a:moveTo>
                  <a:lnTo>
                    <a:pt x="0" y="82"/>
                  </a:lnTo>
                  <a:lnTo>
                    <a:pt x="1" y="82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" name="Freeform 584"/>
            <xdr:cNvSpPr>
              <a:spLocks noChangeAspect="1"/>
            </xdr:cNvSpPr>
          </xdr:nvSpPr>
          <xdr:spPr bwMode="auto">
            <a:xfrm>
              <a:off x="3448" y="2895"/>
              <a:ext cx="101" cy="105"/>
            </a:xfrm>
            <a:custGeom>
              <a:avLst/>
              <a:gdLst>
                <a:gd name="T0" fmla="*/ 0 w 284"/>
                <a:gd name="T1" fmla="*/ 43 h 257"/>
                <a:gd name="T2" fmla="*/ 11 w 284"/>
                <a:gd name="T3" fmla="*/ 41 h 257"/>
                <a:gd name="T4" fmla="*/ 20 w 284"/>
                <a:gd name="T5" fmla="*/ 35 h 257"/>
                <a:gd name="T6" fmla="*/ 28 w 284"/>
                <a:gd name="T7" fmla="*/ 25 h 257"/>
                <a:gd name="T8" fmla="*/ 33 w 284"/>
                <a:gd name="T9" fmla="*/ 13 h 257"/>
                <a:gd name="T10" fmla="*/ 36 w 284"/>
                <a:gd name="T11" fmla="*/ 0 h 257"/>
                <a:gd name="T12" fmla="*/ 36 w 284"/>
                <a:gd name="T13" fmla="*/ 0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257"/>
                  </a:moveTo>
                  <a:lnTo>
                    <a:pt x="83" y="244"/>
                  </a:lnTo>
                  <a:lnTo>
                    <a:pt x="159" y="209"/>
                  </a:lnTo>
                  <a:lnTo>
                    <a:pt x="221" y="152"/>
                  </a:lnTo>
                  <a:lnTo>
                    <a:pt x="263" y="81"/>
                  </a:lnTo>
                  <a:lnTo>
                    <a:pt x="283" y="0"/>
                  </a:lnTo>
                  <a:lnTo>
                    <a:pt x="284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" name="Freeform 585"/>
            <xdr:cNvSpPr>
              <a:spLocks noChangeAspect="1"/>
            </xdr:cNvSpPr>
          </xdr:nvSpPr>
          <xdr:spPr bwMode="auto">
            <a:xfrm>
              <a:off x="1241" y="3001"/>
              <a:ext cx="44" cy="31"/>
            </a:xfrm>
            <a:custGeom>
              <a:avLst/>
              <a:gdLst>
                <a:gd name="T0" fmla="*/ 23 w 84"/>
                <a:gd name="T1" fmla="*/ 13 h 76"/>
                <a:gd name="T2" fmla="*/ 19 w 84"/>
                <a:gd name="T3" fmla="*/ 6 h 76"/>
                <a:gd name="T4" fmla="*/ 11 w 84"/>
                <a:gd name="T5" fmla="*/ 2 h 76"/>
                <a:gd name="T6" fmla="*/ 0 w 84"/>
                <a:gd name="T7" fmla="*/ 0 h 76"/>
                <a:gd name="T8" fmla="*/ 1 w 84"/>
                <a:gd name="T9" fmla="*/ 0 h 7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76">
                  <a:moveTo>
                    <a:pt x="84" y="76"/>
                  </a:moveTo>
                  <a:lnTo>
                    <a:pt x="71" y="37"/>
                  </a:lnTo>
                  <a:lnTo>
                    <a:pt x="40" y="9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" name="Freeform 586"/>
            <xdr:cNvSpPr>
              <a:spLocks noChangeAspect="1"/>
            </xdr:cNvSpPr>
          </xdr:nvSpPr>
          <xdr:spPr bwMode="auto">
            <a:xfrm>
              <a:off x="1285" y="3032"/>
              <a:ext cx="15" cy="166"/>
            </a:xfrm>
            <a:custGeom>
              <a:avLst/>
              <a:gdLst>
                <a:gd name="T0" fmla="*/ 0 w 38"/>
                <a:gd name="T1" fmla="*/ 0 h 407"/>
                <a:gd name="T2" fmla="*/ 6 w 38"/>
                <a:gd name="T3" fmla="*/ 68 h 407"/>
                <a:gd name="T4" fmla="*/ 6 w 38"/>
                <a:gd name="T5" fmla="*/ 68 h 40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8" h="407">
                  <a:moveTo>
                    <a:pt x="0" y="0"/>
                  </a:moveTo>
                  <a:lnTo>
                    <a:pt x="37" y="407"/>
                  </a:lnTo>
                  <a:lnTo>
                    <a:pt x="38" y="40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" name="Freeform 587"/>
            <xdr:cNvSpPr>
              <a:spLocks noChangeAspect="1"/>
            </xdr:cNvSpPr>
          </xdr:nvSpPr>
          <xdr:spPr bwMode="auto">
            <a:xfrm>
              <a:off x="1332" y="3229"/>
              <a:ext cx="351" cy="0"/>
            </a:xfrm>
            <a:custGeom>
              <a:avLst/>
              <a:gdLst>
                <a:gd name="T0" fmla="*/ 0 w 980"/>
                <a:gd name="T1" fmla="*/ 126 w 980"/>
                <a:gd name="T2" fmla="*/ 126 w 98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0">
                  <a:moveTo>
                    <a:pt x="0" y="0"/>
                  </a:moveTo>
                  <a:lnTo>
                    <a:pt x="979" y="0"/>
                  </a:lnTo>
                  <a:lnTo>
                    <a:pt x="98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" name="Freeform 588"/>
            <xdr:cNvSpPr>
              <a:spLocks noChangeAspect="1"/>
            </xdr:cNvSpPr>
          </xdr:nvSpPr>
          <xdr:spPr bwMode="auto">
            <a:xfrm>
              <a:off x="1146" y="2895"/>
              <a:ext cx="100" cy="106"/>
            </a:xfrm>
            <a:custGeom>
              <a:avLst/>
              <a:gdLst>
                <a:gd name="T0" fmla="*/ 0 w 284"/>
                <a:gd name="T1" fmla="*/ 0 h 257"/>
                <a:gd name="T2" fmla="*/ 2 w 284"/>
                <a:gd name="T3" fmla="*/ 14 h 257"/>
                <a:gd name="T4" fmla="*/ 8 w 284"/>
                <a:gd name="T5" fmla="*/ 26 h 257"/>
                <a:gd name="T6" fmla="*/ 15 w 284"/>
                <a:gd name="T7" fmla="*/ 35 h 257"/>
                <a:gd name="T8" fmla="*/ 25 w 284"/>
                <a:gd name="T9" fmla="*/ 42 h 257"/>
                <a:gd name="T10" fmla="*/ 35 w 284"/>
                <a:gd name="T11" fmla="*/ 44 h 257"/>
                <a:gd name="T12" fmla="*/ 35 w 284"/>
                <a:gd name="T13" fmla="*/ 44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0"/>
                  </a:moveTo>
                  <a:lnTo>
                    <a:pt x="20" y="81"/>
                  </a:lnTo>
                  <a:lnTo>
                    <a:pt x="62" y="152"/>
                  </a:lnTo>
                  <a:lnTo>
                    <a:pt x="124" y="209"/>
                  </a:lnTo>
                  <a:lnTo>
                    <a:pt x="200" y="244"/>
                  </a:lnTo>
                  <a:lnTo>
                    <a:pt x="283" y="257"/>
                  </a:lnTo>
                  <a:lnTo>
                    <a:pt x="284" y="25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119" name="Group 589"/>
            <xdr:cNvGrpSpPr>
              <a:grpSpLocks noChangeAspect="1"/>
            </xdr:cNvGrpSpPr>
          </xdr:nvGrpSpPr>
          <xdr:grpSpPr bwMode="auto">
            <a:xfrm>
              <a:off x="1080" y="1733"/>
              <a:ext cx="66" cy="1162"/>
              <a:chOff x="1529" y="1501"/>
              <a:chExt cx="70" cy="1239"/>
            </a:xfrm>
          </xdr:grpSpPr>
          <xdr:sp macro="" textlink="">
            <xdr:nvSpPr>
              <xdr:cNvPr id="216" name="Freeform 590"/>
              <xdr:cNvSpPr>
                <a:spLocks noChangeAspect="1"/>
              </xdr:cNvSpPr>
            </xdr:nvSpPr>
            <xdr:spPr bwMode="auto">
              <a:xfrm>
                <a:off x="1541" y="1762"/>
                <a:ext cx="3" cy="4"/>
              </a:xfrm>
              <a:custGeom>
                <a:avLst/>
                <a:gdLst>
                  <a:gd name="T0" fmla="*/ 0 w 12"/>
                  <a:gd name="T1" fmla="*/ 1 h 12"/>
                  <a:gd name="T2" fmla="*/ 1 w 12"/>
                  <a:gd name="T3" fmla="*/ 1 h 12"/>
                  <a:gd name="T4" fmla="*/ 1 w 12"/>
                  <a:gd name="T5" fmla="*/ 0 h 12"/>
                  <a:gd name="T6" fmla="*/ 1 w 12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2" h="12">
                    <a:moveTo>
                      <a:pt x="0" y="12"/>
                    </a:moveTo>
                    <a:lnTo>
                      <a:pt x="7" y="8"/>
                    </a:lnTo>
                    <a:lnTo>
                      <a:pt x="11" y="0"/>
                    </a:lnTo>
                    <a:lnTo>
                      <a:pt x="12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7" name="Freeform 591"/>
              <xdr:cNvSpPr>
                <a:spLocks noChangeAspect="1"/>
              </xdr:cNvSpPr>
            </xdr:nvSpPr>
            <xdr:spPr bwMode="auto">
              <a:xfrm>
                <a:off x="1535" y="1766"/>
                <a:ext cx="6" cy="6"/>
              </a:xfrm>
              <a:custGeom>
                <a:avLst/>
                <a:gdLst>
                  <a:gd name="T0" fmla="*/ 3 w 11"/>
                  <a:gd name="T1" fmla="*/ 0 h 13"/>
                  <a:gd name="T2" fmla="*/ 1 w 11"/>
                  <a:gd name="T3" fmla="*/ 1 h 13"/>
                  <a:gd name="T4" fmla="*/ 0 w 11"/>
                  <a:gd name="T5" fmla="*/ 3 h 13"/>
                  <a:gd name="T6" fmla="*/ 1 w 11"/>
                  <a:gd name="T7" fmla="*/ 3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1" h="13">
                    <a:moveTo>
                      <a:pt x="11" y="0"/>
                    </a:moveTo>
                    <a:lnTo>
                      <a:pt x="3" y="5"/>
                    </a:lnTo>
                    <a:lnTo>
                      <a:pt x="0" y="13"/>
                    </a:lnTo>
                    <a:lnTo>
                      <a:pt x="1" y="13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8" name="Freeform 592"/>
              <xdr:cNvSpPr>
                <a:spLocks noChangeAspect="1"/>
              </xdr:cNvSpPr>
            </xdr:nvSpPr>
            <xdr:spPr bwMode="auto">
              <a:xfrm>
                <a:off x="1529" y="1772"/>
                <a:ext cx="6" cy="79"/>
              </a:xfrm>
              <a:custGeom>
                <a:avLst/>
                <a:gdLst>
                  <a:gd name="T0" fmla="*/ 0 w 17"/>
                  <a:gd name="T1" fmla="*/ 34 h 183"/>
                  <a:gd name="T2" fmla="*/ 2 w 17"/>
                  <a:gd name="T3" fmla="*/ 0 h 183"/>
                  <a:gd name="T4" fmla="*/ 2 w 17"/>
                  <a:gd name="T5" fmla="*/ 0 h 18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7" h="183">
                    <a:moveTo>
                      <a:pt x="0" y="183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9" name="Freeform 593"/>
              <xdr:cNvSpPr>
                <a:spLocks noChangeAspect="1"/>
              </xdr:cNvSpPr>
            </xdr:nvSpPr>
            <xdr:spPr bwMode="auto">
              <a:xfrm>
                <a:off x="1544" y="1501"/>
                <a:ext cx="22" cy="261"/>
              </a:xfrm>
              <a:custGeom>
                <a:avLst/>
                <a:gdLst>
                  <a:gd name="T0" fmla="*/ 0 w 54"/>
                  <a:gd name="T1" fmla="*/ 113 h 602"/>
                  <a:gd name="T2" fmla="*/ 9 w 54"/>
                  <a:gd name="T3" fmla="*/ 0 h 602"/>
                  <a:gd name="T4" fmla="*/ 9 w 54"/>
                  <a:gd name="T5" fmla="*/ 0 h 60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4" h="602">
                    <a:moveTo>
                      <a:pt x="0" y="602"/>
                    </a:moveTo>
                    <a:lnTo>
                      <a:pt x="53" y="0"/>
                    </a:lnTo>
                    <a:lnTo>
                      <a:pt x="54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0" name="Freeform 594"/>
              <xdr:cNvSpPr>
                <a:spLocks noChangeAspect="1"/>
              </xdr:cNvSpPr>
            </xdr:nvSpPr>
            <xdr:spPr bwMode="auto">
              <a:xfrm>
                <a:off x="1529" y="1851"/>
                <a:ext cx="70" cy="889"/>
              </a:xfrm>
              <a:custGeom>
                <a:avLst/>
                <a:gdLst>
                  <a:gd name="T0" fmla="*/ 0 w 182"/>
                  <a:gd name="T1" fmla="*/ 0 h 2044"/>
                  <a:gd name="T2" fmla="*/ 27 w 182"/>
                  <a:gd name="T3" fmla="*/ 387 h 2044"/>
                  <a:gd name="T4" fmla="*/ 27 w 182"/>
                  <a:gd name="T5" fmla="*/ 387 h 20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82" h="2044">
                    <a:moveTo>
                      <a:pt x="0" y="0"/>
                    </a:moveTo>
                    <a:lnTo>
                      <a:pt x="180" y="2044"/>
                    </a:lnTo>
                    <a:lnTo>
                      <a:pt x="182" y="2044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120" name="Group 595"/>
            <xdr:cNvGrpSpPr>
              <a:grpSpLocks noChangeAspect="1"/>
            </xdr:cNvGrpSpPr>
          </xdr:nvGrpSpPr>
          <xdr:grpSpPr bwMode="auto">
            <a:xfrm>
              <a:off x="1222" y="1613"/>
              <a:ext cx="89" cy="33"/>
              <a:chOff x="1681" y="1373"/>
              <a:chExt cx="95" cy="36"/>
            </a:xfrm>
          </xdr:grpSpPr>
          <xdr:sp macro="" textlink="">
            <xdr:nvSpPr>
              <xdr:cNvPr id="198" name="Freeform 596"/>
              <xdr:cNvSpPr>
                <a:spLocks noChangeAspect="1"/>
              </xdr:cNvSpPr>
            </xdr:nvSpPr>
            <xdr:spPr bwMode="auto">
              <a:xfrm>
                <a:off x="1681" y="1388"/>
                <a:ext cx="94" cy="0"/>
              </a:xfrm>
              <a:custGeom>
                <a:avLst/>
                <a:gdLst>
                  <a:gd name="T0" fmla="*/ 0 w 247"/>
                  <a:gd name="T1" fmla="*/ 36 w 247"/>
                  <a:gd name="T2" fmla="*/ 36 w 24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7">
                    <a:moveTo>
                      <a:pt x="0" y="0"/>
                    </a:moveTo>
                    <a:lnTo>
                      <a:pt x="246" y="0"/>
                    </a:lnTo>
                    <a:lnTo>
                      <a:pt x="2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99" name="Freeform 597"/>
              <xdr:cNvSpPr>
                <a:spLocks noChangeAspect="1"/>
              </xdr:cNvSpPr>
            </xdr:nvSpPr>
            <xdr:spPr bwMode="auto">
              <a:xfrm>
                <a:off x="1754" y="1373"/>
                <a:ext cx="0" cy="15"/>
              </a:xfrm>
              <a:custGeom>
                <a:avLst/>
                <a:gdLst>
                  <a:gd name="T0" fmla="*/ 0 w 1"/>
                  <a:gd name="T1" fmla="*/ 0 h 33"/>
                  <a:gd name="T2" fmla="*/ 0 w 1"/>
                  <a:gd name="T3" fmla="*/ 7 h 33"/>
                  <a:gd name="T4" fmla="*/ 1 w 1"/>
                  <a:gd name="T5" fmla="*/ 7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0"/>
                    </a:moveTo>
                    <a:lnTo>
                      <a:pt x="0" y="33"/>
                    </a:lnTo>
                    <a:lnTo>
                      <a:pt x="1" y="3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0" name="Freeform 598"/>
              <xdr:cNvSpPr>
                <a:spLocks noChangeAspect="1"/>
              </xdr:cNvSpPr>
            </xdr:nvSpPr>
            <xdr:spPr bwMode="auto">
              <a:xfrm>
                <a:off x="1775" y="1373"/>
                <a:ext cx="0" cy="15"/>
              </a:xfrm>
              <a:custGeom>
                <a:avLst/>
                <a:gdLst>
                  <a:gd name="T0" fmla="*/ 0 w 1"/>
                  <a:gd name="T1" fmla="*/ 7 h 33"/>
                  <a:gd name="T2" fmla="*/ 0 w 1"/>
                  <a:gd name="T3" fmla="*/ 0 h 33"/>
                  <a:gd name="T4" fmla="*/ 1 w 1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3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1" name="Freeform 599"/>
              <xdr:cNvSpPr>
                <a:spLocks noChangeAspect="1"/>
              </xdr:cNvSpPr>
            </xdr:nvSpPr>
            <xdr:spPr bwMode="auto">
              <a:xfrm>
                <a:off x="1681" y="1373"/>
                <a:ext cx="3" cy="15"/>
              </a:xfrm>
              <a:custGeom>
                <a:avLst/>
                <a:gdLst>
                  <a:gd name="T0" fmla="*/ 0 w 1"/>
                  <a:gd name="T1" fmla="*/ 7 h 33"/>
                  <a:gd name="T2" fmla="*/ 0 w 1"/>
                  <a:gd name="T3" fmla="*/ 0 h 33"/>
                  <a:gd name="T4" fmla="*/ 9 w 1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3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2" name="Freeform 600"/>
              <xdr:cNvSpPr>
                <a:spLocks noChangeAspect="1"/>
              </xdr:cNvSpPr>
            </xdr:nvSpPr>
            <xdr:spPr bwMode="auto">
              <a:xfrm>
                <a:off x="1702" y="1373"/>
                <a:ext cx="0" cy="15"/>
              </a:xfrm>
              <a:custGeom>
                <a:avLst/>
                <a:gdLst>
                  <a:gd name="T0" fmla="*/ 0 w 2"/>
                  <a:gd name="T1" fmla="*/ 0 h 33"/>
                  <a:gd name="T2" fmla="*/ 0 w 2"/>
                  <a:gd name="T3" fmla="*/ 7 h 33"/>
                  <a:gd name="T4" fmla="*/ 1 w 2"/>
                  <a:gd name="T5" fmla="*/ 7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33">
                    <a:moveTo>
                      <a:pt x="0" y="0"/>
                    </a:moveTo>
                    <a:lnTo>
                      <a:pt x="0" y="33"/>
                    </a:lnTo>
                    <a:lnTo>
                      <a:pt x="2" y="3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3" name="Freeform 601"/>
              <xdr:cNvSpPr>
                <a:spLocks noChangeAspect="1"/>
              </xdr:cNvSpPr>
            </xdr:nvSpPr>
            <xdr:spPr bwMode="auto">
              <a:xfrm>
                <a:off x="1681" y="1373"/>
                <a:ext cx="21" cy="0"/>
              </a:xfrm>
              <a:custGeom>
                <a:avLst/>
                <a:gdLst>
                  <a:gd name="T0" fmla="*/ 0 w 53"/>
                  <a:gd name="T1" fmla="*/ 8 w 53"/>
                  <a:gd name="T2" fmla="*/ 8 w 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3">
                    <a:moveTo>
                      <a:pt x="0" y="0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4" name="Freeform 602"/>
              <xdr:cNvSpPr>
                <a:spLocks noChangeAspect="1"/>
              </xdr:cNvSpPr>
            </xdr:nvSpPr>
            <xdr:spPr bwMode="auto">
              <a:xfrm>
                <a:off x="1757" y="1373"/>
                <a:ext cx="18" cy="0"/>
              </a:xfrm>
              <a:custGeom>
                <a:avLst/>
                <a:gdLst>
                  <a:gd name="T0" fmla="*/ 0 w 53"/>
                  <a:gd name="T1" fmla="*/ 6 w 53"/>
                  <a:gd name="T2" fmla="*/ 6 w 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3">
                    <a:moveTo>
                      <a:pt x="0" y="0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5" name="Freeform 603"/>
              <xdr:cNvSpPr>
                <a:spLocks noChangeAspect="1"/>
              </xdr:cNvSpPr>
            </xdr:nvSpPr>
            <xdr:spPr bwMode="auto">
              <a:xfrm>
                <a:off x="1702" y="1373"/>
                <a:ext cx="55" cy="0"/>
              </a:xfrm>
              <a:custGeom>
                <a:avLst/>
                <a:gdLst>
                  <a:gd name="T0" fmla="*/ 0 w 143"/>
                  <a:gd name="T1" fmla="*/ 21 w 143"/>
                  <a:gd name="T2" fmla="*/ 21 w 14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43">
                    <a:moveTo>
                      <a:pt x="0" y="0"/>
                    </a:moveTo>
                    <a:lnTo>
                      <a:pt x="142" y="0"/>
                    </a:lnTo>
                    <a:lnTo>
                      <a:pt x="1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6" name="Freeform 604"/>
              <xdr:cNvSpPr>
                <a:spLocks noChangeAspect="1"/>
              </xdr:cNvSpPr>
            </xdr:nvSpPr>
            <xdr:spPr bwMode="auto">
              <a:xfrm>
                <a:off x="1776" y="1388"/>
                <a:ext cx="0" cy="15"/>
              </a:xfrm>
              <a:custGeom>
                <a:avLst/>
                <a:gdLst>
                  <a:gd name="T0" fmla="*/ 0 w 1"/>
                  <a:gd name="T1" fmla="*/ 0 h 32"/>
                  <a:gd name="T2" fmla="*/ 0 w 1"/>
                  <a:gd name="T3" fmla="*/ 7 h 32"/>
                  <a:gd name="T4" fmla="*/ 1 w 1"/>
                  <a:gd name="T5" fmla="*/ 7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0"/>
                    </a:moveTo>
                    <a:lnTo>
                      <a:pt x="0" y="32"/>
                    </a:lnTo>
                    <a:lnTo>
                      <a:pt x="1" y="3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7" name="Freeform 605"/>
              <xdr:cNvSpPr>
                <a:spLocks noChangeAspect="1"/>
              </xdr:cNvSpPr>
            </xdr:nvSpPr>
            <xdr:spPr bwMode="auto">
              <a:xfrm>
                <a:off x="1754" y="1388"/>
                <a:ext cx="0" cy="15"/>
              </a:xfrm>
              <a:custGeom>
                <a:avLst/>
                <a:gdLst>
                  <a:gd name="T0" fmla="*/ 0 w 1"/>
                  <a:gd name="T1" fmla="*/ 7 h 32"/>
                  <a:gd name="T2" fmla="*/ 0 w 1"/>
                  <a:gd name="T3" fmla="*/ 0 h 32"/>
                  <a:gd name="T4" fmla="*/ 1 w 1"/>
                  <a:gd name="T5" fmla="*/ 0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3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8" name="Freeform 606"/>
              <xdr:cNvSpPr>
                <a:spLocks noChangeAspect="1"/>
              </xdr:cNvSpPr>
            </xdr:nvSpPr>
            <xdr:spPr bwMode="auto">
              <a:xfrm>
                <a:off x="1757" y="1403"/>
                <a:ext cx="3" cy="6"/>
              </a:xfrm>
              <a:custGeom>
                <a:avLst/>
                <a:gdLst>
                  <a:gd name="T0" fmla="*/ 0 w 1"/>
                  <a:gd name="T1" fmla="*/ 0 h 19"/>
                  <a:gd name="T2" fmla="*/ 0 w 1"/>
                  <a:gd name="T3" fmla="*/ 2 h 19"/>
                  <a:gd name="T4" fmla="*/ 9 w 1"/>
                  <a:gd name="T5" fmla="*/ 2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">
                    <a:moveTo>
                      <a:pt x="0" y="0"/>
                    </a:moveTo>
                    <a:lnTo>
                      <a:pt x="0" y="19"/>
                    </a:lnTo>
                    <a:lnTo>
                      <a:pt x="1" y="19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9" name="Freeform 607"/>
              <xdr:cNvSpPr>
                <a:spLocks noChangeAspect="1"/>
              </xdr:cNvSpPr>
            </xdr:nvSpPr>
            <xdr:spPr bwMode="auto">
              <a:xfrm>
                <a:off x="1681" y="1388"/>
                <a:ext cx="3" cy="15"/>
              </a:xfrm>
              <a:custGeom>
                <a:avLst/>
                <a:gdLst>
                  <a:gd name="T0" fmla="*/ 0 w 1"/>
                  <a:gd name="T1" fmla="*/ 0 h 32"/>
                  <a:gd name="T2" fmla="*/ 0 w 1"/>
                  <a:gd name="T3" fmla="*/ 7 h 32"/>
                  <a:gd name="T4" fmla="*/ 9 w 1"/>
                  <a:gd name="T5" fmla="*/ 7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0"/>
                    </a:moveTo>
                    <a:lnTo>
                      <a:pt x="0" y="32"/>
                    </a:lnTo>
                    <a:lnTo>
                      <a:pt x="1" y="3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0" name="Freeform 608"/>
              <xdr:cNvSpPr>
                <a:spLocks noChangeAspect="1"/>
              </xdr:cNvSpPr>
            </xdr:nvSpPr>
            <xdr:spPr bwMode="auto">
              <a:xfrm>
                <a:off x="1703" y="1388"/>
                <a:ext cx="0" cy="15"/>
              </a:xfrm>
              <a:custGeom>
                <a:avLst/>
                <a:gdLst>
                  <a:gd name="T0" fmla="*/ 0 w 2"/>
                  <a:gd name="T1" fmla="*/ 7 h 32"/>
                  <a:gd name="T2" fmla="*/ 0 w 2"/>
                  <a:gd name="T3" fmla="*/ 0 h 32"/>
                  <a:gd name="T4" fmla="*/ 1 w 2"/>
                  <a:gd name="T5" fmla="*/ 0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32">
                    <a:moveTo>
                      <a:pt x="0" y="32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1" name="Freeform 609"/>
              <xdr:cNvSpPr>
                <a:spLocks noChangeAspect="1"/>
              </xdr:cNvSpPr>
            </xdr:nvSpPr>
            <xdr:spPr bwMode="auto">
              <a:xfrm>
                <a:off x="1700" y="1403"/>
                <a:ext cx="0" cy="6"/>
              </a:xfrm>
              <a:custGeom>
                <a:avLst/>
                <a:gdLst>
                  <a:gd name="T0" fmla="*/ 0 w 1"/>
                  <a:gd name="T1" fmla="*/ 0 h 19"/>
                  <a:gd name="T2" fmla="*/ 0 w 1"/>
                  <a:gd name="T3" fmla="*/ 2 h 19"/>
                  <a:gd name="T4" fmla="*/ 1 w 1"/>
                  <a:gd name="T5" fmla="*/ 2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">
                    <a:moveTo>
                      <a:pt x="0" y="0"/>
                    </a:moveTo>
                    <a:lnTo>
                      <a:pt x="0" y="19"/>
                    </a:lnTo>
                    <a:lnTo>
                      <a:pt x="1" y="19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2" name="Freeform 610"/>
              <xdr:cNvSpPr>
                <a:spLocks noChangeAspect="1"/>
              </xdr:cNvSpPr>
            </xdr:nvSpPr>
            <xdr:spPr bwMode="auto">
              <a:xfrm>
                <a:off x="1681" y="1403"/>
                <a:ext cx="95" cy="0"/>
              </a:xfrm>
              <a:custGeom>
                <a:avLst/>
                <a:gdLst>
                  <a:gd name="T0" fmla="*/ 0 w 247"/>
                  <a:gd name="T1" fmla="*/ 37 w 247"/>
                  <a:gd name="T2" fmla="*/ 37 w 24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7">
                    <a:moveTo>
                      <a:pt x="0" y="0"/>
                    </a:moveTo>
                    <a:lnTo>
                      <a:pt x="246" y="0"/>
                    </a:lnTo>
                    <a:lnTo>
                      <a:pt x="2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3" name="Freeform 611"/>
              <xdr:cNvSpPr>
                <a:spLocks noChangeAspect="1"/>
              </xdr:cNvSpPr>
            </xdr:nvSpPr>
            <xdr:spPr bwMode="auto">
              <a:xfrm>
                <a:off x="1700" y="1409"/>
                <a:ext cx="3" cy="0"/>
              </a:xfrm>
              <a:custGeom>
                <a:avLst/>
                <a:gdLst>
                  <a:gd name="T0" fmla="*/ 0 w 8"/>
                  <a:gd name="T1" fmla="*/ 1 w 8"/>
                  <a:gd name="T2" fmla="*/ 1 w 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">
                    <a:moveTo>
                      <a:pt x="0" y="0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4" name="Freeform 612"/>
              <xdr:cNvSpPr>
                <a:spLocks noChangeAspect="1"/>
              </xdr:cNvSpPr>
            </xdr:nvSpPr>
            <xdr:spPr bwMode="auto">
              <a:xfrm>
                <a:off x="1757" y="1409"/>
                <a:ext cx="3" cy="0"/>
              </a:xfrm>
              <a:custGeom>
                <a:avLst/>
                <a:gdLst>
                  <a:gd name="T0" fmla="*/ 0 w 8"/>
                  <a:gd name="T1" fmla="*/ 1 w 8"/>
                  <a:gd name="T2" fmla="*/ 1 w 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">
                    <a:moveTo>
                      <a:pt x="0" y="0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5" name="Freeform 613"/>
              <xdr:cNvSpPr>
                <a:spLocks noChangeAspect="1"/>
              </xdr:cNvSpPr>
            </xdr:nvSpPr>
            <xdr:spPr bwMode="auto">
              <a:xfrm>
                <a:off x="1703" y="1409"/>
                <a:ext cx="54" cy="0"/>
              </a:xfrm>
              <a:custGeom>
                <a:avLst/>
                <a:gdLst>
                  <a:gd name="T0" fmla="*/ 0 w 143"/>
                  <a:gd name="T1" fmla="*/ 20 w 143"/>
                  <a:gd name="T2" fmla="*/ 20 w 14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43">
                    <a:moveTo>
                      <a:pt x="0" y="0"/>
                    </a:moveTo>
                    <a:lnTo>
                      <a:pt x="142" y="0"/>
                    </a:lnTo>
                    <a:lnTo>
                      <a:pt x="1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121" name="Freeform 614"/>
            <xdr:cNvSpPr>
              <a:spLocks noChangeAspect="1"/>
            </xdr:cNvSpPr>
          </xdr:nvSpPr>
          <xdr:spPr bwMode="auto">
            <a:xfrm>
              <a:off x="2600" y="1627"/>
              <a:ext cx="874" cy="0"/>
            </a:xfrm>
            <a:custGeom>
              <a:avLst/>
              <a:gdLst>
                <a:gd name="T0" fmla="*/ 0 w 2273"/>
                <a:gd name="T1" fmla="*/ 336 w 2273"/>
                <a:gd name="T2" fmla="*/ 336 w 2273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273">
                  <a:moveTo>
                    <a:pt x="0" y="0"/>
                  </a:moveTo>
                  <a:lnTo>
                    <a:pt x="2272" y="0"/>
                  </a:lnTo>
                  <a:lnTo>
                    <a:pt x="2273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122" name="Group 615"/>
            <xdr:cNvGrpSpPr>
              <a:grpSpLocks noChangeAspect="1"/>
            </xdr:cNvGrpSpPr>
          </xdr:nvGrpSpPr>
          <xdr:grpSpPr bwMode="auto">
            <a:xfrm>
              <a:off x="1213" y="3281"/>
              <a:ext cx="87" cy="217"/>
              <a:chOff x="1358" y="2299"/>
              <a:chExt cx="42" cy="105"/>
            </a:xfrm>
          </xdr:grpSpPr>
          <xdr:grpSp>
            <xdr:nvGrpSpPr>
              <xdr:cNvPr id="131" name="Group 616"/>
              <xdr:cNvGrpSpPr>
                <a:grpSpLocks noChangeAspect="1"/>
              </xdr:cNvGrpSpPr>
            </xdr:nvGrpSpPr>
            <xdr:grpSpPr bwMode="auto">
              <a:xfrm>
                <a:off x="1358" y="2362"/>
                <a:ext cx="41" cy="42"/>
                <a:chOff x="1358" y="2465"/>
                <a:chExt cx="41" cy="42"/>
              </a:xfrm>
            </xdr:grpSpPr>
            <xdr:sp macro="" textlink="">
              <xdr:nvSpPr>
                <xdr:cNvPr id="177" name="Freeform 617"/>
                <xdr:cNvSpPr>
                  <a:spLocks noChangeAspect="1"/>
                </xdr:cNvSpPr>
              </xdr:nvSpPr>
              <xdr:spPr bwMode="auto">
                <a:xfrm>
                  <a:off x="1360" y="2465"/>
                  <a:ext cx="37" cy="0"/>
                </a:xfrm>
                <a:custGeom>
                  <a:avLst/>
                  <a:gdLst>
                    <a:gd name="T0" fmla="*/ 5 w 300"/>
                    <a:gd name="T1" fmla="*/ 0 w 300"/>
                    <a:gd name="T2" fmla="*/ 0 w 300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300">
                      <a:moveTo>
                        <a:pt x="300" y="0"/>
                      </a:move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78" name="Freeform 618"/>
                <xdr:cNvSpPr>
                  <a:spLocks noChangeAspect="1"/>
                </xdr:cNvSpPr>
              </xdr:nvSpPr>
              <xdr:spPr bwMode="auto">
                <a:xfrm>
                  <a:off x="1367" y="2507"/>
                  <a:ext cx="23" cy="0"/>
                </a:xfrm>
                <a:custGeom>
                  <a:avLst/>
                  <a:gdLst>
                    <a:gd name="T0" fmla="*/ 3 w 181"/>
                    <a:gd name="T1" fmla="*/ 0 w 181"/>
                    <a:gd name="T2" fmla="*/ 0 w 181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181">
                      <a:moveTo>
                        <a:pt x="181" y="0"/>
                      </a:moveTo>
                      <a:lnTo>
                        <a:pt x="0" y="0"/>
                      </a:lnTo>
                      <a:lnTo>
                        <a:pt x="2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79" name="Freeform 619"/>
                <xdr:cNvSpPr>
                  <a:spLocks noChangeAspect="1"/>
                </xdr:cNvSpPr>
              </xdr:nvSpPr>
              <xdr:spPr bwMode="auto">
                <a:xfrm>
                  <a:off x="1390" y="2502"/>
                  <a:ext cx="5" cy="5"/>
                </a:xfrm>
                <a:custGeom>
                  <a:avLst/>
                  <a:gdLst>
                    <a:gd name="T0" fmla="*/ 0 w 39"/>
                    <a:gd name="T1" fmla="*/ 1 h 37"/>
                    <a:gd name="T2" fmla="*/ 0 w 39"/>
                    <a:gd name="T3" fmla="*/ 1 h 37"/>
                    <a:gd name="T4" fmla="*/ 1 w 39"/>
                    <a:gd name="T5" fmla="*/ 0 h 37"/>
                    <a:gd name="T6" fmla="*/ 1 w 39"/>
                    <a:gd name="T7" fmla="*/ 0 h 37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39" h="37">
                      <a:moveTo>
                        <a:pt x="0" y="37"/>
                      </a:moveTo>
                      <a:lnTo>
                        <a:pt x="27" y="27"/>
                      </a:lnTo>
                      <a:lnTo>
                        <a:pt x="38" y="0"/>
                      </a:lnTo>
                      <a:lnTo>
                        <a:pt x="39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0" name="Freeform 620"/>
                <xdr:cNvSpPr>
                  <a:spLocks noChangeAspect="1"/>
                </xdr:cNvSpPr>
              </xdr:nvSpPr>
              <xdr:spPr bwMode="auto">
                <a:xfrm>
                  <a:off x="1395" y="2477"/>
                  <a:ext cx="0" cy="25"/>
                </a:xfrm>
                <a:custGeom>
                  <a:avLst/>
                  <a:gdLst>
                    <a:gd name="T0" fmla="*/ 0 w 1"/>
                    <a:gd name="T1" fmla="*/ 0 h 172"/>
                    <a:gd name="T2" fmla="*/ 0 w 1"/>
                    <a:gd name="T3" fmla="*/ 4 h 172"/>
                    <a:gd name="T4" fmla="*/ 1 w 1"/>
                    <a:gd name="T5" fmla="*/ 4 h 1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172">
                      <a:moveTo>
                        <a:pt x="0" y="0"/>
                      </a:moveTo>
                      <a:lnTo>
                        <a:pt x="0" y="172"/>
                      </a:lnTo>
                      <a:lnTo>
                        <a:pt x="1" y="1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1" name="Freeform 621"/>
                <xdr:cNvSpPr>
                  <a:spLocks noChangeAspect="1"/>
                </xdr:cNvSpPr>
              </xdr:nvSpPr>
              <xdr:spPr bwMode="auto">
                <a:xfrm>
                  <a:off x="1399" y="2467"/>
                  <a:ext cx="0" cy="6"/>
                </a:xfrm>
                <a:custGeom>
                  <a:avLst/>
                  <a:gdLst>
                    <a:gd name="T0" fmla="*/ 0 w 1"/>
                    <a:gd name="T1" fmla="*/ 0 h 48"/>
                    <a:gd name="T2" fmla="*/ 0 w 1"/>
                    <a:gd name="T3" fmla="*/ 1 h 48"/>
                    <a:gd name="T4" fmla="*/ 1 w 1"/>
                    <a:gd name="T5" fmla="*/ 1 h 48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48">
                      <a:moveTo>
                        <a:pt x="0" y="0"/>
                      </a:moveTo>
                      <a:lnTo>
                        <a:pt x="0" y="48"/>
                      </a:lnTo>
                      <a:lnTo>
                        <a:pt x="1" y="48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2" name="Freeform 622"/>
                <xdr:cNvSpPr>
                  <a:spLocks noChangeAspect="1"/>
                </xdr:cNvSpPr>
              </xdr:nvSpPr>
              <xdr:spPr bwMode="auto">
                <a:xfrm>
                  <a:off x="1395" y="2475"/>
                  <a:ext cx="1" cy="2"/>
                </a:xfrm>
                <a:custGeom>
                  <a:avLst/>
                  <a:gdLst>
                    <a:gd name="T0" fmla="*/ 0 w 13"/>
                    <a:gd name="T1" fmla="*/ 0 h 13"/>
                    <a:gd name="T2" fmla="*/ 0 w 13"/>
                    <a:gd name="T3" fmla="*/ 0 h 13"/>
                    <a:gd name="T4" fmla="*/ 0 w 13"/>
                    <a:gd name="T5" fmla="*/ 0 h 13"/>
                    <a:gd name="T6" fmla="*/ 0 w 13"/>
                    <a:gd name="T7" fmla="*/ 0 h 1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3">
                      <a:moveTo>
                        <a:pt x="13" y="0"/>
                      </a:moveTo>
                      <a:lnTo>
                        <a:pt x="4" y="4"/>
                      </a:lnTo>
                      <a:lnTo>
                        <a:pt x="0" y="13"/>
                      </a:lnTo>
                      <a:lnTo>
                        <a:pt x="1" y="13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3" name="Freeform 623"/>
                <xdr:cNvSpPr>
                  <a:spLocks noChangeAspect="1"/>
                </xdr:cNvSpPr>
              </xdr:nvSpPr>
              <xdr:spPr bwMode="auto">
                <a:xfrm>
                  <a:off x="1397" y="2473"/>
                  <a:ext cx="2" cy="2"/>
                </a:xfrm>
                <a:custGeom>
                  <a:avLst/>
                  <a:gdLst>
                    <a:gd name="T0" fmla="*/ 0 w 13"/>
                    <a:gd name="T1" fmla="*/ 0 h 12"/>
                    <a:gd name="T2" fmla="*/ 0 w 13"/>
                    <a:gd name="T3" fmla="*/ 0 h 12"/>
                    <a:gd name="T4" fmla="*/ 0 w 13"/>
                    <a:gd name="T5" fmla="*/ 0 h 12"/>
                    <a:gd name="T6" fmla="*/ 0 w 13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2">
                      <a:moveTo>
                        <a:pt x="0" y="12"/>
                      </a:moveTo>
                      <a:lnTo>
                        <a:pt x="8" y="8"/>
                      </a:lnTo>
                      <a:lnTo>
                        <a:pt x="12" y="0"/>
                      </a:lnTo>
                      <a:lnTo>
                        <a:pt x="13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4" name="Freeform 624"/>
                <xdr:cNvSpPr>
                  <a:spLocks noChangeAspect="1"/>
                </xdr:cNvSpPr>
              </xdr:nvSpPr>
              <xdr:spPr bwMode="auto">
                <a:xfrm>
                  <a:off x="1358" y="2473"/>
                  <a:ext cx="2" cy="2"/>
                </a:xfrm>
                <a:custGeom>
                  <a:avLst/>
                  <a:gdLst>
                    <a:gd name="T0" fmla="*/ 0 w 13"/>
                    <a:gd name="T1" fmla="*/ 0 h 12"/>
                    <a:gd name="T2" fmla="*/ 0 w 13"/>
                    <a:gd name="T3" fmla="*/ 0 h 12"/>
                    <a:gd name="T4" fmla="*/ 0 w 13"/>
                    <a:gd name="T5" fmla="*/ 0 h 12"/>
                    <a:gd name="T6" fmla="*/ 0 w 13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2">
                      <a:moveTo>
                        <a:pt x="0" y="0"/>
                      </a:moveTo>
                      <a:lnTo>
                        <a:pt x="3" y="8"/>
                      </a:lnTo>
                      <a:lnTo>
                        <a:pt x="12" y="12"/>
                      </a:lnTo>
                      <a:lnTo>
                        <a:pt x="13" y="1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5" name="Freeform 625"/>
                <xdr:cNvSpPr>
                  <a:spLocks noChangeAspect="1"/>
                </xdr:cNvSpPr>
              </xdr:nvSpPr>
              <xdr:spPr bwMode="auto">
                <a:xfrm>
                  <a:off x="1358" y="2467"/>
                  <a:ext cx="0" cy="6"/>
                </a:xfrm>
                <a:custGeom>
                  <a:avLst/>
                  <a:gdLst>
                    <a:gd name="T0" fmla="*/ 0 w 1"/>
                    <a:gd name="T1" fmla="*/ 0 h 48"/>
                    <a:gd name="T2" fmla="*/ 0 w 1"/>
                    <a:gd name="T3" fmla="*/ 1 h 48"/>
                    <a:gd name="T4" fmla="*/ 1 w 1"/>
                    <a:gd name="T5" fmla="*/ 1 h 48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48">
                      <a:moveTo>
                        <a:pt x="0" y="0"/>
                      </a:moveTo>
                      <a:lnTo>
                        <a:pt x="0" y="48"/>
                      </a:lnTo>
                      <a:lnTo>
                        <a:pt x="1" y="48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6" name="Freeform 626"/>
                <xdr:cNvSpPr>
                  <a:spLocks noChangeAspect="1"/>
                </xdr:cNvSpPr>
              </xdr:nvSpPr>
              <xdr:spPr bwMode="auto">
                <a:xfrm>
                  <a:off x="1362" y="2477"/>
                  <a:ext cx="1" cy="25"/>
                </a:xfrm>
                <a:custGeom>
                  <a:avLst/>
                  <a:gdLst>
                    <a:gd name="T0" fmla="*/ 0 w 1"/>
                    <a:gd name="T1" fmla="*/ 0 h 172"/>
                    <a:gd name="T2" fmla="*/ 0 w 1"/>
                    <a:gd name="T3" fmla="*/ 4 h 172"/>
                    <a:gd name="T4" fmla="*/ 1 w 1"/>
                    <a:gd name="T5" fmla="*/ 4 h 1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172">
                      <a:moveTo>
                        <a:pt x="0" y="0"/>
                      </a:moveTo>
                      <a:lnTo>
                        <a:pt x="0" y="172"/>
                      </a:lnTo>
                      <a:lnTo>
                        <a:pt x="1" y="1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7" name="Freeform 627"/>
                <xdr:cNvSpPr>
                  <a:spLocks noChangeAspect="1"/>
                </xdr:cNvSpPr>
              </xdr:nvSpPr>
              <xdr:spPr bwMode="auto">
                <a:xfrm>
                  <a:off x="1361" y="2475"/>
                  <a:ext cx="1" cy="2"/>
                </a:xfrm>
                <a:custGeom>
                  <a:avLst/>
                  <a:gdLst>
                    <a:gd name="T0" fmla="*/ 0 w 13"/>
                    <a:gd name="T1" fmla="*/ 0 h 13"/>
                    <a:gd name="T2" fmla="*/ 0 w 13"/>
                    <a:gd name="T3" fmla="*/ 0 h 13"/>
                    <a:gd name="T4" fmla="*/ 0 w 13"/>
                    <a:gd name="T5" fmla="*/ 0 h 13"/>
                    <a:gd name="T6" fmla="*/ 0 w 13"/>
                    <a:gd name="T7" fmla="*/ 0 h 1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3">
                      <a:moveTo>
                        <a:pt x="13" y="13"/>
                      </a:moveTo>
                      <a:lnTo>
                        <a:pt x="8" y="4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8" name="Freeform 628"/>
                <xdr:cNvSpPr>
                  <a:spLocks noChangeAspect="1"/>
                </xdr:cNvSpPr>
              </xdr:nvSpPr>
              <xdr:spPr bwMode="auto">
                <a:xfrm>
                  <a:off x="1360" y="2475"/>
                  <a:ext cx="37" cy="0"/>
                </a:xfrm>
                <a:custGeom>
                  <a:avLst/>
                  <a:gdLst>
                    <a:gd name="T0" fmla="*/ 5 w 300"/>
                    <a:gd name="T1" fmla="*/ 0 w 300"/>
                    <a:gd name="T2" fmla="*/ 0 w 300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300">
                      <a:moveTo>
                        <a:pt x="300" y="0"/>
                      </a:move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9" name="Freeform 629"/>
                <xdr:cNvSpPr>
                  <a:spLocks noChangeAspect="1"/>
                </xdr:cNvSpPr>
              </xdr:nvSpPr>
              <xdr:spPr bwMode="auto">
                <a:xfrm>
                  <a:off x="1362" y="2502"/>
                  <a:ext cx="5" cy="5"/>
                </a:xfrm>
                <a:custGeom>
                  <a:avLst/>
                  <a:gdLst>
                    <a:gd name="T0" fmla="*/ 0 w 39"/>
                    <a:gd name="T1" fmla="*/ 0 h 37"/>
                    <a:gd name="T2" fmla="*/ 0 w 39"/>
                    <a:gd name="T3" fmla="*/ 1 h 37"/>
                    <a:gd name="T4" fmla="*/ 1 w 39"/>
                    <a:gd name="T5" fmla="*/ 1 h 37"/>
                    <a:gd name="T6" fmla="*/ 1 w 39"/>
                    <a:gd name="T7" fmla="*/ 1 h 37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39" h="37">
                      <a:moveTo>
                        <a:pt x="0" y="0"/>
                      </a:moveTo>
                      <a:lnTo>
                        <a:pt x="10" y="27"/>
                      </a:lnTo>
                      <a:lnTo>
                        <a:pt x="37" y="37"/>
                      </a:lnTo>
                      <a:lnTo>
                        <a:pt x="39" y="37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" name="Freeform 630"/>
                <xdr:cNvSpPr>
                  <a:spLocks noChangeAspect="1"/>
                </xdr:cNvSpPr>
              </xdr:nvSpPr>
              <xdr:spPr bwMode="auto">
                <a:xfrm>
                  <a:off x="1358" y="2465"/>
                  <a:ext cx="2" cy="2"/>
                </a:xfrm>
                <a:custGeom>
                  <a:avLst/>
                  <a:gdLst>
                    <a:gd name="T0" fmla="*/ 0 w 12"/>
                    <a:gd name="T1" fmla="*/ 0 h 12"/>
                    <a:gd name="T2" fmla="*/ 0 w 12"/>
                    <a:gd name="T3" fmla="*/ 0 h 12"/>
                    <a:gd name="T4" fmla="*/ 0 w 12"/>
                    <a:gd name="T5" fmla="*/ 0 h 12"/>
                    <a:gd name="T6" fmla="*/ 0 w 12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2" h="12">
                      <a:moveTo>
                        <a:pt x="12" y="0"/>
                      </a:moveTo>
                      <a:lnTo>
                        <a:pt x="3" y="3"/>
                      </a:lnTo>
                      <a:lnTo>
                        <a:pt x="0" y="12"/>
                      </a:lnTo>
                      <a:lnTo>
                        <a:pt x="1" y="1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1" name="Freeform 631"/>
                <xdr:cNvSpPr>
                  <a:spLocks noChangeAspect="1"/>
                </xdr:cNvSpPr>
              </xdr:nvSpPr>
              <xdr:spPr bwMode="auto">
                <a:xfrm>
                  <a:off x="1367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2" name="Freeform 632"/>
                <xdr:cNvSpPr>
                  <a:spLocks noChangeAspect="1"/>
                </xdr:cNvSpPr>
              </xdr:nvSpPr>
              <xdr:spPr bwMode="auto">
                <a:xfrm>
                  <a:off x="1364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3" name="Freeform 633"/>
                <xdr:cNvSpPr>
                  <a:spLocks noChangeAspect="1"/>
                </xdr:cNvSpPr>
              </xdr:nvSpPr>
              <xdr:spPr bwMode="auto">
                <a:xfrm>
                  <a:off x="1377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4" name="Freeform 634"/>
                <xdr:cNvSpPr>
                  <a:spLocks noChangeAspect="1"/>
                </xdr:cNvSpPr>
              </xdr:nvSpPr>
              <xdr:spPr bwMode="auto">
                <a:xfrm>
                  <a:off x="1380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5" name="Freeform 635"/>
                <xdr:cNvSpPr>
                  <a:spLocks noChangeAspect="1"/>
                </xdr:cNvSpPr>
              </xdr:nvSpPr>
              <xdr:spPr bwMode="auto">
                <a:xfrm>
                  <a:off x="1390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6" name="Freeform 636"/>
                <xdr:cNvSpPr>
                  <a:spLocks noChangeAspect="1"/>
                </xdr:cNvSpPr>
              </xdr:nvSpPr>
              <xdr:spPr bwMode="auto">
                <a:xfrm>
                  <a:off x="1393" y="2465"/>
                  <a:ext cx="0" cy="10"/>
                </a:xfrm>
                <a:custGeom>
                  <a:avLst/>
                  <a:gdLst>
                    <a:gd name="T0" fmla="*/ 0 w 2"/>
                    <a:gd name="T1" fmla="*/ 0 h 72"/>
                    <a:gd name="T2" fmla="*/ 0 w 2"/>
                    <a:gd name="T3" fmla="*/ 1 h 72"/>
                    <a:gd name="T4" fmla="*/ 1 w 2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2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2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7" name="Freeform 637"/>
                <xdr:cNvSpPr>
                  <a:spLocks noChangeAspect="1"/>
                </xdr:cNvSpPr>
              </xdr:nvSpPr>
              <xdr:spPr bwMode="auto">
                <a:xfrm>
                  <a:off x="1397" y="2465"/>
                  <a:ext cx="2" cy="2"/>
                </a:xfrm>
                <a:custGeom>
                  <a:avLst/>
                  <a:gdLst>
                    <a:gd name="T0" fmla="*/ 0 w 12"/>
                    <a:gd name="T1" fmla="*/ 0 h 12"/>
                    <a:gd name="T2" fmla="*/ 0 w 12"/>
                    <a:gd name="T3" fmla="*/ 0 h 12"/>
                    <a:gd name="T4" fmla="*/ 0 w 12"/>
                    <a:gd name="T5" fmla="*/ 0 h 12"/>
                    <a:gd name="T6" fmla="*/ 0 w 12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2" h="12">
                      <a:moveTo>
                        <a:pt x="12" y="12"/>
                      </a:moveTo>
                      <a:lnTo>
                        <a:pt x="8" y="3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sp macro="" textlink="">
            <xdr:nvSpPr>
              <xdr:cNvPr id="132" name="Freeform 638"/>
              <xdr:cNvSpPr>
                <a:spLocks noChangeAspect="1"/>
              </xdr:cNvSpPr>
            </xdr:nvSpPr>
            <xdr:spPr bwMode="auto">
              <a:xfrm>
                <a:off x="1368" y="2300"/>
                <a:ext cx="21" cy="0"/>
              </a:xfrm>
              <a:custGeom>
                <a:avLst/>
                <a:gdLst>
                  <a:gd name="T0" fmla="*/ 3 w 166"/>
                  <a:gd name="T1" fmla="*/ 0 w 166"/>
                  <a:gd name="T2" fmla="*/ 0 w 16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66">
                    <a:moveTo>
                      <a:pt x="16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33" name="Freeform 639"/>
              <xdr:cNvSpPr>
                <a:spLocks noChangeAspect="1"/>
              </xdr:cNvSpPr>
            </xdr:nvSpPr>
            <xdr:spPr bwMode="auto">
              <a:xfrm>
                <a:off x="1368" y="2306"/>
                <a:ext cx="21" cy="0"/>
              </a:xfrm>
              <a:custGeom>
                <a:avLst/>
                <a:gdLst>
                  <a:gd name="T0" fmla="*/ 3 w 166"/>
                  <a:gd name="T1" fmla="*/ 0 w 166"/>
                  <a:gd name="T2" fmla="*/ 0 w 16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66">
                    <a:moveTo>
                      <a:pt x="16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34" name="Freeform 640"/>
              <xdr:cNvSpPr>
                <a:spLocks noChangeAspect="1"/>
              </xdr:cNvSpPr>
            </xdr:nvSpPr>
            <xdr:spPr bwMode="auto">
              <a:xfrm>
                <a:off x="1368" y="2299"/>
                <a:ext cx="0" cy="9"/>
              </a:xfrm>
              <a:custGeom>
                <a:avLst/>
                <a:gdLst>
                  <a:gd name="T0" fmla="*/ 0 w 1"/>
                  <a:gd name="T1" fmla="*/ 1 h 63"/>
                  <a:gd name="T2" fmla="*/ 0 w 1"/>
                  <a:gd name="T3" fmla="*/ 0 h 63"/>
                  <a:gd name="T4" fmla="*/ 1 w 1"/>
                  <a:gd name="T5" fmla="*/ 0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6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35" name="Freeform 641"/>
              <xdr:cNvSpPr>
                <a:spLocks noChangeAspect="1"/>
              </xdr:cNvSpPr>
            </xdr:nvSpPr>
            <xdr:spPr bwMode="auto">
              <a:xfrm>
                <a:off x="1393" y="2316"/>
                <a:ext cx="0" cy="11"/>
              </a:xfrm>
              <a:custGeom>
                <a:avLst/>
                <a:gdLst>
                  <a:gd name="T0" fmla="*/ 0 w 2"/>
                  <a:gd name="T1" fmla="*/ 2 h 73"/>
                  <a:gd name="T2" fmla="*/ 0 w 2"/>
                  <a:gd name="T3" fmla="*/ 0 h 73"/>
                  <a:gd name="T4" fmla="*/ 1 w 2"/>
                  <a:gd name="T5" fmla="*/ 0 h 7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73">
                    <a:moveTo>
                      <a:pt x="0" y="73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36" name="Freeform 642"/>
              <xdr:cNvSpPr>
                <a:spLocks noChangeAspect="1"/>
              </xdr:cNvSpPr>
            </xdr:nvSpPr>
            <xdr:spPr bwMode="auto">
              <a:xfrm>
                <a:off x="1393" y="2370"/>
                <a:ext cx="2" cy="2"/>
              </a:xfrm>
              <a:custGeom>
                <a:avLst/>
                <a:gdLst>
                  <a:gd name="T0" fmla="*/ 0 w 14"/>
                  <a:gd name="T1" fmla="*/ 0 h 12"/>
                  <a:gd name="T2" fmla="*/ 0 w 14"/>
                  <a:gd name="T3" fmla="*/ 0 h 12"/>
                  <a:gd name="T4" fmla="*/ 0 w 14"/>
                  <a:gd name="T5" fmla="*/ 0 h 12"/>
                  <a:gd name="T6" fmla="*/ 0 w 14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" h="12">
                    <a:moveTo>
                      <a:pt x="0" y="12"/>
                    </a:moveTo>
                    <a:lnTo>
                      <a:pt x="10" y="9"/>
                    </a:lnTo>
                    <a:lnTo>
                      <a:pt x="13" y="0"/>
                    </a:lnTo>
                    <a:lnTo>
                      <a:pt x="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37" name="Freeform 643"/>
              <xdr:cNvSpPr>
                <a:spLocks noChangeAspect="1"/>
              </xdr:cNvSpPr>
            </xdr:nvSpPr>
            <xdr:spPr bwMode="auto">
              <a:xfrm>
                <a:off x="1393" y="2328"/>
                <a:ext cx="0" cy="8"/>
              </a:xfrm>
              <a:custGeom>
                <a:avLst/>
                <a:gdLst>
                  <a:gd name="T0" fmla="*/ 0 w 2"/>
                  <a:gd name="T1" fmla="*/ 1 h 53"/>
                  <a:gd name="T2" fmla="*/ 0 w 2"/>
                  <a:gd name="T3" fmla="*/ 0 h 53"/>
                  <a:gd name="T4" fmla="*/ 1 w 2"/>
                  <a:gd name="T5" fmla="*/ 0 h 5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53">
                    <a:moveTo>
                      <a:pt x="0" y="53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38" name="Freeform 644"/>
              <xdr:cNvSpPr>
                <a:spLocks noChangeAspect="1"/>
              </xdr:cNvSpPr>
            </xdr:nvSpPr>
            <xdr:spPr bwMode="auto">
              <a:xfrm>
                <a:off x="1393" y="2337"/>
                <a:ext cx="0" cy="13"/>
              </a:xfrm>
              <a:custGeom>
                <a:avLst/>
                <a:gdLst>
                  <a:gd name="T0" fmla="*/ 0 w 2"/>
                  <a:gd name="T1" fmla="*/ 2 h 92"/>
                  <a:gd name="T2" fmla="*/ 0 w 2"/>
                  <a:gd name="T3" fmla="*/ 0 h 92"/>
                  <a:gd name="T4" fmla="*/ 1 w 2"/>
                  <a:gd name="T5" fmla="*/ 0 h 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92">
                    <a:moveTo>
                      <a:pt x="0" y="92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39" name="Freeform 645"/>
              <xdr:cNvSpPr>
                <a:spLocks noChangeAspect="1"/>
              </xdr:cNvSpPr>
            </xdr:nvSpPr>
            <xdr:spPr bwMode="auto">
              <a:xfrm>
                <a:off x="1393" y="2352"/>
                <a:ext cx="0" cy="9"/>
              </a:xfrm>
              <a:custGeom>
                <a:avLst/>
                <a:gdLst>
                  <a:gd name="T0" fmla="*/ 0 w 2"/>
                  <a:gd name="T1" fmla="*/ 1 h 61"/>
                  <a:gd name="T2" fmla="*/ 0 w 2"/>
                  <a:gd name="T3" fmla="*/ 0 h 61"/>
                  <a:gd name="T4" fmla="*/ 1 w 2"/>
                  <a:gd name="T5" fmla="*/ 0 h 6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61">
                    <a:moveTo>
                      <a:pt x="0" y="61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0" name="Freeform 646"/>
              <xdr:cNvSpPr>
                <a:spLocks noChangeAspect="1"/>
              </xdr:cNvSpPr>
            </xdr:nvSpPr>
            <xdr:spPr bwMode="auto">
              <a:xfrm>
                <a:off x="1398" y="2325"/>
                <a:ext cx="0" cy="28"/>
              </a:xfrm>
              <a:custGeom>
                <a:avLst/>
                <a:gdLst>
                  <a:gd name="T0" fmla="*/ 0 w 1"/>
                  <a:gd name="T1" fmla="*/ 0 h 196"/>
                  <a:gd name="T2" fmla="*/ 0 w 1"/>
                  <a:gd name="T3" fmla="*/ 4 h 196"/>
                  <a:gd name="T4" fmla="*/ 1 w 1"/>
                  <a:gd name="T5" fmla="*/ 4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0"/>
                    </a:moveTo>
                    <a:lnTo>
                      <a:pt x="0" y="196"/>
                    </a:lnTo>
                    <a:lnTo>
                      <a:pt x="1" y="19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1" name="Freeform 647"/>
              <xdr:cNvSpPr>
                <a:spLocks noChangeAspect="1"/>
              </xdr:cNvSpPr>
            </xdr:nvSpPr>
            <xdr:spPr bwMode="auto">
              <a:xfrm>
                <a:off x="1395" y="2325"/>
                <a:ext cx="0" cy="28"/>
              </a:xfrm>
              <a:custGeom>
                <a:avLst/>
                <a:gdLst>
                  <a:gd name="T0" fmla="*/ 0 w 1"/>
                  <a:gd name="T1" fmla="*/ 4 h 196"/>
                  <a:gd name="T2" fmla="*/ 0 w 1"/>
                  <a:gd name="T3" fmla="*/ 0 h 196"/>
                  <a:gd name="T4" fmla="*/ 1 w 1"/>
                  <a:gd name="T5" fmla="*/ 0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19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2" name="Freeform 648"/>
              <xdr:cNvSpPr>
                <a:spLocks noChangeAspect="1"/>
              </xdr:cNvSpPr>
            </xdr:nvSpPr>
            <xdr:spPr bwMode="auto">
              <a:xfrm>
                <a:off x="1398" y="2325"/>
                <a:ext cx="0" cy="28"/>
              </a:xfrm>
              <a:custGeom>
                <a:avLst/>
                <a:gdLst>
                  <a:gd name="T0" fmla="*/ 0 w 1"/>
                  <a:gd name="T1" fmla="*/ 4 h 196"/>
                  <a:gd name="T2" fmla="*/ 0 w 1"/>
                  <a:gd name="T3" fmla="*/ 0 h 196"/>
                  <a:gd name="T4" fmla="*/ 1 w 1"/>
                  <a:gd name="T5" fmla="*/ 0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19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3" name="Freeform 649"/>
              <xdr:cNvSpPr>
                <a:spLocks noChangeAspect="1"/>
              </xdr:cNvSpPr>
            </xdr:nvSpPr>
            <xdr:spPr bwMode="auto">
              <a:xfrm>
                <a:off x="1400" y="2326"/>
                <a:ext cx="0" cy="27"/>
              </a:xfrm>
              <a:custGeom>
                <a:avLst/>
                <a:gdLst>
                  <a:gd name="T0" fmla="*/ 0 w 1"/>
                  <a:gd name="T1" fmla="*/ 0 h 192"/>
                  <a:gd name="T2" fmla="*/ 0 w 1"/>
                  <a:gd name="T3" fmla="*/ 4 h 192"/>
                  <a:gd name="T4" fmla="*/ 1 w 1"/>
                  <a:gd name="T5" fmla="*/ 4 h 1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2">
                    <a:moveTo>
                      <a:pt x="0" y="0"/>
                    </a:moveTo>
                    <a:lnTo>
                      <a:pt x="0" y="192"/>
                    </a:lnTo>
                    <a:lnTo>
                      <a:pt x="1" y="19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4" name="Freeform 650"/>
              <xdr:cNvSpPr>
                <a:spLocks noChangeAspect="1"/>
              </xdr:cNvSpPr>
            </xdr:nvSpPr>
            <xdr:spPr bwMode="auto">
              <a:xfrm>
                <a:off x="1395" y="2353"/>
                <a:ext cx="3" cy="0"/>
              </a:xfrm>
              <a:custGeom>
                <a:avLst/>
                <a:gdLst>
                  <a:gd name="T0" fmla="*/ 0 w 25"/>
                  <a:gd name="T1" fmla="*/ 0 w 25"/>
                  <a:gd name="T2" fmla="*/ 0 w 25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">
                    <a:moveTo>
                      <a:pt x="25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5" name="Freeform 651"/>
              <xdr:cNvSpPr>
                <a:spLocks noChangeAspect="1"/>
              </xdr:cNvSpPr>
            </xdr:nvSpPr>
            <xdr:spPr bwMode="auto">
              <a:xfrm>
                <a:off x="1398" y="2349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6" name="Freeform 652"/>
              <xdr:cNvSpPr>
                <a:spLocks noChangeAspect="1"/>
              </xdr:cNvSpPr>
            </xdr:nvSpPr>
            <xdr:spPr bwMode="auto">
              <a:xfrm>
                <a:off x="1395" y="2361"/>
                <a:ext cx="0" cy="9"/>
              </a:xfrm>
              <a:custGeom>
                <a:avLst/>
                <a:gdLst>
                  <a:gd name="T0" fmla="*/ 0 w 1"/>
                  <a:gd name="T1" fmla="*/ 0 h 66"/>
                  <a:gd name="T2" fmla="*/ 0 w 1"/>
                  <a:gd name="T3" fmla="*/ 1 h 66"/>
                  <a:gd name="T4" fmla="*/ 1 w 1"/>
                  <a:gd name="T5" fmla="*/ 1 h 6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6">
                    <a:moveTo>
                      <a:pt x="0" y="0"/>
                    </a:moveTo>
                    <a:lnTo>
                      <a:pt x="0" y="66"/>
                    </a:lnTo>
                    <a:lnTo>
                      <a:pt x="1" y="6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7" name="Freeform 653"/>
              <xdr:cNvSpPr>
                <a:spLocks noChangeAspect="1"/>
              </xdr:cNvSpPr>
            </xdr:nvSpPr>
            <xdr:spPr bwMode="auto">
              <a:xfrm>
                <a:off x="1395" y="2325"/>
                <a:ext cx="3" cy="0"/>
              </a:xfrm>
              <a:custGeom>
                <a:avLst/>
                <a:gdLst>
                  <a:gd name="T0" fmla="*/ 0 w 26"/>
                  <a:gd name="T1" fmla="*/ 0 w 26"/>
                  <a:gd name="T2" fmla="*/ 0 w 2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">
                    <a:moveTo>
                      <a:pt x="0" y="0"/>
                    </a:moveTo>
                    <a:lnTo>
                      <a:pt x="25" y="0"/>
                    </a:lnTo>
                    <a:lnTo>
                      <a:pt x="2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8" name="Freeform 654"/>
              <xdr:cNvSpPr>
                <a:spLocks noChangeAspect="1"/>
              </xdr:cNvSpPr>
            </xdr:nvSpPr>
            <xdr:spPr bwMode="auto">
              <a:xfrm>
                <a:off x="1398" y="2330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9" name="Freeform 655"/>
              <xdr:cNvSpPr>
                <a:spLocks noChangeAspect="1"/>
              </xdr:cNvSpPr>
            </xdr:nvSpPr>
            <xdr:spPr bwMode="auto">
              <a:xfrm>
                <a:off x="1370" y="2308"/>
                <a:ext cx="0" cy="6"/>
              </a:xfrm>
              <a:custGeom>
                <a:avLst/>
                <a:gdLst>
                  <a:gd name="T0" fmla="*/ 0 w 1"/>
                  <a:gd name="T1" fmla="*/ 1 h 44"/>
                  <a:gd name="T2" fmla="*/ 0 w 1"/>
                  <a:gd name="T3" fmla="*/ 0 h 44"/>
                  <a:gd name="T4" fmla="*/ 1 w 1"/>
                  <a:gd name="T5" fmla="*/ 0 h 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4">
                    <a:moveTo>
                      <a:pt x="0" y="4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0" name="Freeform 656"/>
              <xdr:cNvSpPr>
                <a:spLocks noChangeAspect="1"/>
              </xdr:cNvSpPr>
            </xdr:nvSpPr>
            <xdr:spPr bwMode="auto">
              <a:xfrm>
                <a:off x="1392" y="2314"/>
                <a:ext cx="1" cy="2"/>
              </a:xfrm>
              <a:custGeom>
                <a:avLst/>
                <a:gdLst>
                  <a:gd name="T0" fmla="*/ 0 w 11"/>
                  <a:gd name="T1" fmla="*/ 0 h 14"/>
                  <a:gd name="T2" fmla="*/ 0 w 11"/>
                  <a:gd name="T3" fmla="*/ 0 h 14"/>
                  <a:gd name="T4" fmla="*/ 0 w 11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4">
                    <a:moveTo>
                      <a:pt x="11" y="1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1" name="Freeform 657"/>
              <xdr:cNvSpPr>
                <a:spLocks noChangeAspect="1"/>
              </xdr:cNvSpPr>
            </xdr:nvSpPr>
            <xdr:spPr bwMode="auto">
              <a:xfrm>
                <a:off x="1387" y="2308"/>
                <a:ext cx="0" cy="6"/>
              </a:xfrm>
              <a:custGeom>
                <a:avLst/>
                <a:gdLst>
                  <a:gd name="T0" fmla="*/ 0 w 1"/>
                  <a:gd name="T1" fmla="*/ 1 h 44"/>
                  <a:gd name="T2" fmla="*/ 0 w 1"/>
                  <a:gd name="T3" fmla="*/ 0 h 44"/>
                  <a:gd name="T4" fmla="*/ 1 w 1"/>
                  <a:gd name="T5" fmla="*/ 0 h 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4">
                    <a:moveTo>
                      <a:pt x="0" y="4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2" name="Freeform 658"/>
              <xdr:cNvSpPr>
                <a:spLocks noChangeAspect="1"/>
              </xdr:cNvSpPr>
            </xdr:nvSpPr>
            <xdr:spPr bwMode="auto">
              <a:xfrm>
                <a:off x="1389" y="2299"/>
                <a:ext cx="0" cy="9"/>
              </a:xfrm>
              <a:custGeom>
                <a:avLst/>
                <a:gdLst>
                  <a:gd name="T0" fmla="*/ 0 w 1"/>
                  <a:gd name="T1" fmla="*/ 1 h 63"/>
                  <a:gd name="T2" fmla="*/ 0 w 1"/>
                  <a:gd name="T3" fmla="*/ 0 h 63"/>
                  <a:gd name="T4" fmla="*/ 1 w 1"/>
                  <a:gd name="T5" fmla="*/ 0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6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3" name="Freeform 659"/>
              <xdr:cNvSpPr>
                <a:spLocks noChangeAspect="1"/>
              </xdr:cNvSpPr>
            </xdr:nvSpPr>
            <xdr:spPr bwMode="auto">
              <a:xfrm>
                <a:off x="1364" y="2316"/>
                <a:ext cx="0" cy="11"/>
              </a:xfrm>
              <a:custGeom>
                <a:avLst/>
                <a:gdLst>
                  <a:gd name="T0" fmla="*/ 0 w 1"/>
                  <a:gd name="T1" fmla="*/ 2 h 73"/>
                  <a:gd name="T2" fmla="*/ 0 w 1"/>
                  <a:gd name="T3" fmla="*/ 0 h 73"/>
                  <a:gd name="T4" fmla="*/ 1 w 1"/>
                  <a:gd name="T5" fmla="*/ 0 h 7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73">
                    <a:moveTo>
                      <a:pt x="0" y="7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4" name="Freeform 660"/>
              <xdr:cNvSpPr>
                <a:spLocks noChangeAspect="1"/>
              </xdr:cNvSpPr>
            </xdr:nvSpPr>
            <xdr:spPr bwMode="auto">
              <a:xfrm>
                <a:off x="1364" y="2328"/>
                <a:ext cx="0" cy="8"/>
              </a:xfrm>
              <a:custGeom>
                <a:avLst/>
                <a:gdLst>
                  <a:gd name="T0" fmla="*/ 0 w 1"/>
                  <a:gd name="T1" fmla="*/ 1 h 53"/>
                  <a:gd name="T2" fmla="*/ 0 w 1"/>
                  <a:gd name="T3" fmla="*/ 0 h 53"/>
                  <a:gd name="T4" fmla="*/ 1 w 1"/>
                  <a:gd name="T5" fmla="*/ 0 h 5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3">
                    <a:moveTo>
                      <a:pt x="0" y="5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5" name="Freeform 661"/>
              <xdr:cNvSpPr>
                <a:spLocks noChangeAspect="1"/>
              </xdr:cNvSpPr>
            </xdr:nvSpPr>
            <xdr:spPr bwMode="auto">
              <a:xfrm>
                <a:off x="1364" y="2337"/>
                <a:ext cx="0" cy="13"/>
              </a:xfrm>
              <a:custGeom>
                <a:avLst/>
                <a:gdLst>
                  <a:gd name="T0" fmla="*/ 0 w 1"/>
                  <a:gd name="T1" fmla="*/ 2 h 92"/>
                  <a:gd name="T2" fmla="*/ 0 w 1"/>
                  <a:gd name="T3" fmla="*/ 0 h 92"/>
                  <a:gd name="T4" fmla="*/ 1 w 1"/>
                  <a:gd name="T5" fmla="*/ 0 h 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2">
                    <a:moveTo>
                      <a:pt x="0" y="9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6" name="Freeform 662"/>
              <xdr:cNvSpPr>
                <a:spLocks noChangeAspect="1"/>
              </xdr:cNvSpPr>
            </xdr:nvSpPr>
            <xdr:spPr bwMode="auto">
              <a:xfrm>
                <a:off x="1363" y="2336"/>
                <a:ext cx="0" cy="1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7" name="Freeform 663"/>
              <xdr:cNvSpPr>
                <a:spLocks noChangeAspect="1"/>
              </xdr:cNvSpPr>
            </xdr:nvSpPr>
            <xdr:spPr bwMode="auto">
              <a:xfrm>
                <a:off x="1364" y="2352"/>
                <a:ext cx="0" cy="9"/>
              </a:xfrm>
              <a:custGeom>
                <a:avLst/>
                <a:gdLst>
                  <a:gd name="T0" fmla="*/ 0 w 1"/>
                  <a:gd name="T1" fmla="*/ 1 h 61"/>
                  <a:gd name="T2" fmla="*/ 0 w 1"/>
                  <a:gd name="T3" fmla="*/ 0 h 61"/>
                  <a:gd name="T4" fmla="*/ 1 w 1"/>
                  <a:gd name="T5" fmla="*/ 0 h 6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1">
                    <a:moveTo>
                      <a:pt x="0" y="6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8" name="Freeform 664"/>
              <xdr:cNvSpPr>
                <a:spLocks noChangeAspect="1"/>
              </xdr:cNvSpPr>
            </xdr:nvSpPr>
            <xdr:spPr bwMode="auto">
              <a:xfrm>
                <a:off x="1362" y="2361"/>
                <a:ext cx="0" cy="9"/>
              </a:xfrm>
              <a:custGeom>
                <a:avLst/>
                <a:gdLst>
                  <a:gd name="T0" fmla="*/ 0 w 1"/>
                  <a:gd name="T1" fmla="*/ 0 h 66"/>
                  <a:gd name="T2" fmla="*/ 0 w 1"/>
                  <a:gd name="T3" fmla="*/ 1 h 66"/>
                  <a:gd name="T4" fmla="*/ 1 w 1"/>
                  <a:gd name="T5" fmla="*/ 1 h 6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6">
                    <a:moveTo>
                      <a:pt x="0" y="0"/>
                    </a:moveTo>
                    <a:lnTo>
                      <a:pt x="0" y="66"/>
                    </a:lnTo>
                    <a:lnTo>
                      <a:pt x="1" y="6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9" name="Freeform 665"/>
              <xdr:cNvSpPr>
                <a:spLocks noChangeAspect="1"/>
              </xdr:cNvSpPr>
            </xdr:nvSpPr>
            <xdr:spPr bwMode="auto">
              <a:xfrm>
                <a:off x="1362" y="2370"/>
                <a:ext cx="2" cy="2"/>
              </a:xfrm>
              <a:custGeom>
                <a:avLst/>
                <a:gdLst>
                  <a:gd name="T0" fmla="*/ 0 w 14"/>
                  <a:gd name="T1" fmla="*/ 0 h 12"/>
                  <a:gd name="T2" fmla="*/ 0 w 14"/>
                  <a:gd name="T3" fmla="*/ 0 h 12"/>
                  <a:gd name="T4" fmla="*/ 0 w 14"/>
                  <a:gd name="T5" fmla="*/ 0 h 12"/>
                  <a:gd name="T6" fmla="*/ 0 w 14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" h="12">
                    <a:moveTo>
                      <a:pt x="0" y="0"/>
                    </a:moveTo>
                    <a:lnTo>
                      <a:pt x="4" y="9"/>
                    </a:lnTo>
                    <a:lnTo>
                      <a:pt x="13" y="12"/>
                    </a:lnTo>
                    <a:lnTo>
                      <a:pt x="14" y="1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0" name="Freeform 666"/>
              <xdr:cNvSpPr>
                <a:spLocks noChangeAspect="1"/>
              </xdr:cNvSpPr>
            </xdr:nvSpPr>
            <xdr:spPr bwMode="auto">
              <a:xfrm>
                <a:off x="1363" y="2350"/>
                <a:ext cx="0" cy="2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1" name="Freeform 667"/>
              <xdr:cNvSpPr>
                <a:spLocks noChangeAspect="1"/>
              </xdr:cNvSpPr>
            </xdr:nvSpPr>
            <xdr:spPr bwMode="auto">
              <a:xfrm>
                <a:off x="1363" y="2327"/>
                <a:ext cx="0" cy="1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2" name="Freeform 668"/>
              <xdr:cNvSpPr>
                <a:spLocks noChangeAspect="1"/>
              </xdr:cNvSpPr>
            </xdr:nvSpPr>
            <xdr:spPr bwMode="auto">
              <a:xfrm>
                <a:off x="1364" y="2314"/>
                <a:ext cx="1" cy="2"/>
              </a:xfrm>
              <a:custGeom>
                <a:avLst/>
                <a:gdLst>
                  <a:gd name="T0" fmla="*/ 0 w 13"/>
                  <a:gd name="T1" fmla="*/ 0 h 14"/>
                  <a:gd name="T2" fmla="*/ 0 w 13"/>
                  <a:gd name="T3" fmla="*/ 0 h 14"/>
                  <a:gd name="T4" fmla="*/ 0 w 13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3" h="14">
                    <a:moveTo>
                      <a:pt x="0" y="14"/>
                    </a:moveTo>
                    <a:lnTo>
                      <a:pt x="12" y="0"/>
                    </a:lnTo>
                    <a:lnTo>
                      <a:pt x="1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3" name="Freeform 669"/>
              <xdr:cNvSpPr>
                <a:spLocks noChangeAspect="1"/>
              </xdr:cNvSpPr>
            </xdr:nvSpPr>
            <xdr:spPr bwMode="auto">
              <a:xfrm>
                <a:off x="1363" y="2336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4" name="Freeform 670"/>
              <xdr:cNvSpPr>
                <a:spLocks noChangeAspect="1"/>
              </xdr:cNvSpPr>
            </xdr:nvSpPr>
            <xdr:spPr bwMode="auto">
              <a:xfrm>
                <a:off x="1363" y="2337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5" name="Freeform 671"/>
              <xdr:cNvSpPr>
                <a:spLocks noChangeAspect="1"/>
              </xdr:cNvSpPr>
            </xdr:nvSpPr>
            <xdr:spPr bwMode="auto">
              <a:xfrm>
                <a:off x="1362" y="2361"/>
                <a:ext cx="33" cy="0"/>
              </a:xfrm>
              <a:custGeom>
                <a:avLst/>
                <a:gdLst>
                  <a:gd name="T0" fmla="*/ 0 w 264"/>
                  <a:gd name="T1" fmla="*/ 4 w 264"/>
                  <a:gd name="T2" fmla="*/ 4 w 26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4">
                    <a:moveTo>
                      <a:pt x="0" y="0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6" name="Freeform 672"/>
              <xdr:cNvSpPr>
                <a:spLocks noChangeAspect="1"/>
              </xdr:cNvSpPr>
            </xdr:nvSpPr>
            <xdr:spPr bwMode="auto">
              <a:xfrm>
                <a:off x="1363" y="2369"/>
                <a:ext cx="32" cy="3"/>
              </a:xfrm>
              <a:custGeom>
                <a:avLst/>
                <a:gdLst>
                  <a:gd name="T0" fmla="*/ 0 w 255"/>
                  <a:gd name="T1" fmla="*/ 1 h 17"/>
                  <a:gd name="T2" fmla="*/ 4 w 255"/>
                  <a:gd name="T3" fmla="*/ 0 h 17"/>
                  <a:gd name="T4" fmla="*/ 4 w 255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55" h="17">
                    <a:moveTo>
                      <a:pt x="0" y="17"/>
                    </a:moveTo>
                    <a:lnTo>
                      <a:pt x="254" y="0"/>
                    </a:lnTo>
                    <a:lnTo>
                      <a:pt x="25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7" name="Freeform 673"/>
              <xdr:cNvSpPr>
                <a:spLocks noChangeAspect="1"/>
              </xdr:cNvSpPr>
            </xdr:nvSpPr>
            <xdr:spPr bwMode="auto">
              <a:xfrm>
                <a:off x="1362" y="2367"/>
                <a:ext cx="33" cy="3"/>
              </a:xfrm>
              <a:custGeom>
                <a:avLst/>
                <a:gdLst>
                  <a:gd name="T0" fmla="*/ 0 w 264"/>
                  <a:gd name="T1" fmla="*/ 1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8" name="Freeform 674"/>
              <xdr:cNvSpPr>
                <a:spLocks noChangeAspect="1"/>
              </xdr:cNvSpPr>
            </xdr:nvSpPr>
            <xdr:spPr bwMode="auto">
              <a:xfrm>
                <a:off x="1362" y="2365"/>
                <a:ext cx="33" cy="2"/>
              </a:xfrm>
              <a:custGeom>
                <a:avLst/>
                <a:gdLst>
                  <a:gd name="T0" fmla="*/ 0 w 264"/>
                  <a:gd name="T1" fmla="*/ 0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9" name="Freeform 675"/>
              <xdr:cNvSpPr>
                <a:spLocks noChangeAspect="1"/>
              </xdr:cNvSpPr>
            </xdr:nvSpPr>
            <xdr:spPr bwMode="auto">
              <a:xfrm>
                <a:off x="1362" y="2363"/>
                <a:ext cx="33" cy="2"/>
              </a:xfrm>
              <a:custGeom>
                <a:avLst/>
                <a:gdLst>
                  <a:gd name="T0" fmla="*/ 0 w 264"/>
                  <a:gd name="T1" fmla="*/ 0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0" name="Freeform 676"/>
              <xdr:cNvSpPr>
                <a:spLocks noChangeAspect="1"/>
              </xdr:cNvSpPr>
            </xdr:nvSpPr>
            <xdr:spPr bwMode="auto">
              <a:xfrm>
                <a:off x="1363" y="2352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1" name="Freeform 677"/>
              <xdr:cNvSpPr>
                <a:spLocks noChangeAspect="1"/>
              </xdr:cNvSpPr>
            </xdr:nvSpPr>
            <xdr:spPr bwMode="auto">
              <a:xfrm>
                <a:off x="1363" y="2350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2" name="Freeform 678"/>
              <xdr:cNvSpPr>
                <a:spLocks noChangeAspect="1"/>
              </xdr:cNvSpPr>
            </xdr:nvSpPr>
            <xdr:spPr bwMode="auto">
              <a:xfrm>
                <a:off x="1363" y="2327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3" name="Freeform 679"/>
              <xdr:cNvSpPr>
                <a:spLocks noChangeAspect="1"/>
              </xdr:cNvSpPr>
            </xdr:nvSpPr>
            <xdr:spPr bwMode="auto">
              <a:xfrm>
                <a:off x="1363" y="2328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4" name="Freeform 680"/>
              <xdr:cNvSpPr>
                <a:spLocks noChangeAspect="1"/>
              </xdr:cNvSpPr>
            </xdr:nvSpPr>
            <xdr:spPr bwMode="auto">
              <a:xfrm>
                <a:off x="1364" y="2372"/>
                <a:ext cx="29" cy="0"/>
              </a:xfrm>
              <a:custGeom>
                <a:avLst/>
                <a:gdLst>
                  <a:gd name="T0" fmla="*/ 0 w 239"/>
                  <a:gd name="T1" fmla="*/ 4 w 239"/>
                  <a:gd name="T2" fmla="*/ 4 w 23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39">
                    <a:moveTo>
                      <a:pt x="0" y="0"/>
                    </a:moveTo>
                    <a:lnTo>
                      <a:pt x="237" y="0"/>
                    </a:lnTo>
                    <a:lnTo>
                      <a:pt x="23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5" name="Freeform 681"/>
              <xdr:cNvSpPr>
                <a:spLocks noChangeAspect="1"/>
              </xdr:cNvSpPr>
            </xdr:nvSpPr>
            <xdr:spPr bwMode="auto">
              <a:xfrm>
                <a:off x="1362" y="2361"/>
                <a:ext cx="31" cy="2"/>
              </a:xfrm>
              <a:custGeom>
                <a:avLst/>
                <a:gdLst>
                  <a:gd name="T0" fmla="*/ 0 w 250"/>
                  <a:gd name="T1" fmla="*/ 0 h 16"/>
                  <a:gd name="T2" fmla="*/ 4 w 250"/>
                  <a:gd name="T3" fmla="*/ 0 h 16"/>
                  <a:gd name="T4" fmla="*/ 4 w 250"/>
                  <a:gd name="T5" fmla="*/ 0 h 1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50" h="16">
                    <a:moveTo>
                      <a:pt x="0" y="16"/>
                    </a:moveTo>
                    <a:lnTo>
                      <a:pt x="249" y="0"/>
                    </a:lnTo>
                    <a:lnTo>
                      <a:pt x="25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6" name="Freeform 682"/>
              <xdr:cNvSpPr>
                <a:spLocks noChangeAspect="1"/>
              </xdr:cNvSpPr>
            </xdr:nvSpPr>
            <xdr:spPr bwMode="auto">
              <a:xfrm>
                <a:off x="1365" y="2314"/>
                <a:ext cx="27" cy="0"/>
              </a:xfrm>
              <a:custGeom>
                <a:avLst/>
                <a:gdLst>
                  <a:gd name="T0" fmla="*/ 3 w 214"/>
                  <a:gd name="T1" fmla="*/ 0 w 214"/>
                  <a:gd name="T2" fmla="*/ 0 w 21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14">
                    <a:moveTo>
                      <a:pt x="214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123" name="Freeform 683"/>
            <xdr:cNvSpPr>
              <a:spLocks noChangeAspect="1"/>
            </xdr:cNvSpPr>
          </xdr:nvSpPr>
          <xdr:spPr bwMode="auto">
            <a:xfrm>
              <a:off x="1110" y="1720"/>
              <a:ext cx="10" cy="26"/>
            </a:xfrm>
            <a:custGeom>
              <a:avLst/>
              <a:gdLst>
                <a:gd name="T0" fmla="*/ 10 w 10"/>
                <a:gd name="T1" fmla="*/ 0 h 26"/>
                <a:gd name="T2" fmla="*/ 6 w 10"/>
                <a:gd name="T3" fmla="*/ 26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0" h="26">
                  <a:moveTo>
                    <a:pt x="10" y="0"/>
                  </a:moveTo>
                  <a:cubicBezTo>
                    <a:pt x="0" y="7"/>
                    <a:pt x="6" y="15"/>
                    <a:pt x="6" y="26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4" name="Freeform 684"/>
            <xdr:cNvSpPr>
              <a:spLocks noChangeAspect="1"/>
            </xdr:cNvSpPr>
          </xdr:nvSpPr>
          <xdr:spPr bwMode="auto">
            <a:xfrm>
              <a:off x="1082" y="1974"/>
              <a:ext cx="16" cy="10"/>
            </a:xfrm>
            <a:custGeom>
              <a:avLst/>
              <a:gdLst>
                <a:gd name="T0" fmla="*/ 0 w 16"/>
                <a:gd name="T1" fmla="*/ 10 h 10"/>
                <a:gd name="T2" fmla="*/ 12 w 16"/>
                <a:gd name="T3" fmla="*/ 6 h 10"/>
                <a:gd name="T4" fmla="*/ 16 w 16"/>
                <a:gd name="T5" fmla="*/ 0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6" h="10">
                  <a:moveTo>
                    <a:pt x="0" y="10"/>
                  </a:moveTo>
                  <a:cubicBezTo>
                    <a:pt x="4" y="9"/>
                    <a:pt x="10" y="10"/>
                    <a:pt x="12" y="6"/>
                  </a:cubicBezTo>
                  <a:cubicBezTo>
                    <a:pt x="13" y="4"/>
                    <a:pt x="16" y="0"/>
                    <a:pt x="16" y="0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5" name="Freeform 685"/>
            <xdr:cNvSpPr>
              <a:spLocks noChangeAspect="1"/>
            </xdr:cNvSpPr>
          </xdr:nvSpPr>
          <xdr:spPr bwMode="auto">
            <a:xfrm>
              <a:off x="1144" y="2878"/>
              <a:ext cx="2" cy="20"/>
            </a:xfrm>
            <a:custGeom>
              <a:avLst/>
              <a:gdLst>
                <a:gd name="T0" fmla="*/ 0 w 2"/>
                <a:gd name="T1" fmla="*/ 0 h 20"/>
                <a:gd name="T2" fmla="*/ 2 w 2"/>
                <a:gd name="T3" fmla="*/ 20 h 20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2" h="20">
                  <a:moveTo>
                    <a:pt x="0" y="0"/>
                  </a:moveTo>
                  <a:cubicBezTo>
                    <a:pt x="2" y="17"/>
                    <a:pt x="2" y="11"/>
                    <a:pt x="2" y="20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6" name="Freeform 686"/>
            <xdr:cNvSpPr>
              <a:spLocks noChangeAspect="1"/>
            </xdr:cNvSpPr>
          </xdr:nvSpPr>
          <xdr:spPr bwMode="auto">
            <a:xfrm>
              <a:off x="1710" y="3188"/>
              <a:ext cx="8" cy="26"/>
            </a:xfrm>
            <a:custGeom>
              <a:avLst/>
              <a:gdLst>
                <a:gd name="T0" fmla="*/ 0 w 8"/>
                <a:gd name="T1" fmla="*/ 26 h 26"/>
                <a:gd name="T2" fmla="*/ 8 w 8"/>
                <a:gd name="T3" fmla="*/ 0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8" h="26">
                  <a:moveTo>
                    <a:pt x="0" y="26"/>
                  </a:moveTo>
                  <a:cubicBezTo>
                    <a:pt x="2" y="19"/>
                    <a:pt x="8" y="8"/>
                    <a:pt x="8" y="0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7" name="Freeform 687"/>
            <xdr:cNvSpPr>
              <a:spLocks noChangeAspect="1"/>
            </xdr:cNvSpPr>
          </xdr:nvSpPr>
          <xdr:spPr bwMode="auto">
            <a:xfrm>
              <a:off x="3392" y="3026"/>
              <a:ext cx="8" cy="26"/>
            </a:xfrm>
            <a:custGeom>
              <a:avLst/>
              <a:gdLst>
                <a:gd name="T0" fmla="*/ 0 w 8"/>
                <a:gd name="T1" fmla="*/ 26 h 26"/>
                <a:gd name="T2" fmla="*/ 8 w 8"/>
                <a:gd name="T3" fmla="*/ 0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8" h="26">
                  <a:moveTo>
                    <a:pt x="0" y="26"/>
                  </a:moveTo>
                  <a:cubicBezTo>
                    <a:pt x="8" y="18"/>
                    <a:pt x="8" y="13"/>
                    <a:pt x="8" y="0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8" name="Freeform 688"/>
            <xdr:cNvSpPr>
              <a:spLocks noChangeAspect="1"/>
            </xdr:cNvSpPr>
          </xdr:nvSpPr>
          <xdr:spPr bwMode="auto">
            <a:xfrm>
              <a:off x="3548" y="2880"/>
              <a:ext cx="4" cy="34"/>
            </a:xfrm>
            <a:custGeom>
              <a:avLst/>
              <a:gdLst>
                <a:gd name="T0" fmla="*/ 0 w 4"/>
                <a:gd name="T1" fmla="*/ 34 h 34"/>
                <a:gd name="T2" fmla="*/ 4 w 4"/>
                <a:gd name="T3" fmla="*/ 0 h 34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4" h="34">
                  <a:moveTo>
                    <a:pt x="0" y="34"/>
                  </a:moveTo>
                  <a:cubicBezTo>
                    <a:pt x="4" y="23"/>
                    <a:pt x="4" y="0"/>
                    <a:pt x="4" y="0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9" name="Freeform 689"/>
            <xdr:cNvSpPr>
              <a:spLocks noChangeAspect="1"/>
            </xdr:cNvSpPr>
          </xdr:nvSpPr>
          <xdr:spPr bwMode="auto">
            <a:xfrm>
              <a:off x="3594" y="1969"/>
              <a:ext cx="24" cy="29"/>
            </a:xfrm>
            <a:custGeom>
              <a:avLst/>
              <a:gdLst>
                <a:gd name="T0" fmla="*/ 0 w 24"/>
                <a:gd name="T1" fmla="*/ 3 h 29"/>
                <a:gd name="T2" fmla="*/ 16 w 24"/>
                <a:gd name="T3" fmla="*/ 29 h 2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24" h="29">
                  <a:moveTo>
                    <a:pt x="0" y="3"/>
                  </a:moveTo>
                  <a:cubicBezTo>
                    <a:pt x="24" y="6"/>
                    <a:pt x="16" y="0"/>
                    <a:pt x="16" y="29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0" name="Freeform 690"/>
            <xdr:cNvSpPr>
              <a:spLocks noChangeAspect="1"/>
            </xdr:cNvSpPr>
          </xdr:nvSpPr>
          <xdr:spPr bwMode="auto">
            <a:xfrm>
              <a:off x="3580" y="1730"/>
              <a:ext cx="4" cy="26"/>
            </a:xfrm>
            <a:custGeom>
              <a:avLst/>
              <a:gdLst>
                <a:gd name="T0" fmla="*/ 0 w 4"/>
                <a:gd name="T1" fmla="*/ 0 h 26"/>
                <a:gd name="T2" fmla="*/ 2 w 4"/>
                <a:gd name="T3" fmla="*/ 26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4" h="26">
                  <a:moveTo>
                    <a:pt x="0" y="0"/>
                  </a:moveTo>
                  <a:cubicBezTo>
                    <a:pt x="4" y="12"/>
                    <a:pt x="2" y="4"/>
                    <a:pt x="2" y="26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0" name="Text Box 691"/>
          <xdr:cNvSpPr txBox="1">
            <a:spLocks noChangeArrowheads="1"/>
          </xdr:cNvSpPr>
        </xdr:nvSpPr>
        <xdr:spPr bwMode="auto">
          <a:xfrm>
            <a:off x="839" y="109"/>
            <a:ext cx="160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Wassermenge für den</a:t>
            </a:r>
          </a:p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zu behandelnden Schlag</a:t>
            </a:r>
          </a:p>
        </xdr:txBody>
      </xdr:sp>
    </xdr:grpSp>
    <xdr:clientData/>
  </xdr:twoCellAnchor>
  <xdr:twoCellAnchor editAs="oneCell">
    <xdr:from>
      <xdr:col>7</xdr:col>
      <xdr:colOff>285750</xdr:colOff>
      <xdr:row>13</xdr:row>
      <xdr:rowOff>11906</xdr:rowOff>
    </xdr:from>
    <xdr:to>
      <xdr:col>13</xdr:col>
      <xdr:colOff>90028</xdr:colOff>
      <xdr:row>18</xdr:row>
      <xdr:rowOff>79708</xdr:rowOff>
    </xdr:to>
    <xdr:pic>
      <xdr:nvPicPr>
        <xdr:cNvPr id="381" name="Grafik 380"/>
        <xdr:cNvPicPr>
          <a:picLocks noChangeAspect="1"/>
        </xdr:cNvPicPr>
      </xdr:nvPicPr>
      <xdr:blipFill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1969" y="3095625"/>
          <a:ext cx="2304590" cy="125842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</xdr:colOff>
      <xdr:row>25</xdr:row>
      <xdr:rowOff>102390</xdr:rowOff>
    </xdr:from>
    <xdr:to>
      <xdr:col>19</xdr:col>
      <xdr:colOff>396498</xdr:colOff>
      <xdr:row>33</xdr:row>
      <xdr:rowOff>145404</xdr:rowOff>
    </xdr:to>
    <xdr:grpSp>
      <xdr:nvGrpSpPr>
        <xdr:cNvPr id="54" name="Gruppieren 53"/>
        <xdr:cNvGrpSpPr/>
      </xdr:nvGrpSpPr>
      <xdr:grpSpPr>
        <a:xfrm>
          <a:off x="23812" y="5936453"/>
          <a:ext cx="13469561" cy="1852764"/>
          <a:chOff x="95250" y="4888703"/>
          <a:chExt cx="13290967" cy="1852764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6167962"/>
            <a:ext cx="13290967" cy="573505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4993743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4888703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10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1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11</xdr:row>
      <xdr:rowOff>0</xdr:rowOff>
    </xdr:from>
    <xdr:ext cx="304800" cy="304800"/>
    <xdr:sp macro="" textlink="">
      <xdr:nvSpPr>
        <xdr:cNvPr id="1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1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1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1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10</xdr:row>
      <xdr:rowOff>0</xdr:rowOff>
    </xdr:from>
    <xdr:ext cx="304800" cy="304800"/>
    <xdr:sp macro="" textlink="">
      <xdr:nvSpPr>
        <xdr:cNvPr id="1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11</xdr:row>
      <xdr:rowOff>0</xdr:rowOff>
    </xdr:from>
    <xdr:ext cx="304800" cy="304800"/>
    <xdr:sp macro="" textlink="">
      <xdr:nvSpPr>
        <xdr:cNvPr id="2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131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2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2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12</xdr:row>
      <xdr:rowOff>0</xdr:rowOff>
    </xdr:from>
    <xdr:ext cx="304800" cy="304800"/>
    <xdr:sp macro="" textlink="">
      <xdr:nvSpPr>
        <xdr:cNvPr id="2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2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2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2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13</xdr:row>
      <xdr:rowOff>0</xdr:rowOff>
    </xdr:from>
    <xdr:ext cx="304800" cy="304800"/>
    <xdr:sp macro="" textlink="">
      <xdr:nvSpPr>
        <xdr:cNvPr id="2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3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3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304800" cy="304800"/>
    <xdr:sp macro="" textlink="">
      <xdr:nvSpPr>
        <xdr:cNvPr id="3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3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3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3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13</xdr:row>
      <xdr:rowOff>0</xdr:rowOff>
    </xdr:from>
    <xdr:ext cx="304800" cy="304800"/>
    <xdr:sp macro="" textlink="">
      <xdr:nvSpPr>
        <xdr:cNvPr id="3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304800"/>
    <xdr:sp macro="" textlink="">
      <xdr:nvSpPr>
        <xdr:cNvPr id="3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3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3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4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304800"/>
    <xdr:sp macro="" textlink="">
      <xdr:nvSpPr>
        <xdr:cNvPr id="4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4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4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304800" cy="304800"/>
    <xdr:sp macro="" textlink="">
      <xdr:nvSpPr>
        <xdr:cNvPr id="4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304800" cy="304800"/>
    <xdr:sp macro="" textlink="">
      <xdr:nvSpPr>
        <xdr:cNvPr id="4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304800" cy="304800"/>
    <xdr:sp macro="" textlink="">
      <xdr:nvSpPr>
        <xdr:cNvPr id="4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304800" cy="304800"/>
    <xdr:sp macro="" textlink="">
      <xdr:nvSpPr>
        <xdr:cNvPr id="4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304800"/>
    <xdr:sp macro="" textlink="">
      <xdr:nvSpPr>
        <xdr:cNvPr id="4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60746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15</xdr:row>
      <xdr:rowOff>0</xdr:rowOff>
    </xdr:from>
    <xdr:ext cx="304800" cy="304800"/>
    <xdr:sp macro="" textlink="">
      <xdr:nvSpPr>
        <xdr:cNvPr id="4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304800" cy="304800"/>
    <xdr:sp macro="" textlink="">
      <xdr:nvSpPr>
        <xdr:cNvPr id="5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304800" cy="304800"/>
    <xdr:sp macro="" textlink="">
      <xdr:nvSpPr>
        <xdr:cNvPr id="5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304800" cy="304800"/>
    <xdr:sp macro="" textlink="">
      <xdr:nvSpPr>
        <xdr:cNvPr id="5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98781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15</xdr:row>
      <xdr:rowOff>0</xdr:rowOff>
    </xdr:from>
    <xdr:ext cx="304800" cy="304800"/>
    <xdr:sp macro="" textlink="">
      <xdr:nvSpPr>
        <xdr:cNvPr id="5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46344" y="28455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15</xdr:row>
      <xdr:rowOff>47624</xdr:rowOff>
    </xdr:from>
    <xdr:to>
      <xdr:col>3</xdr:col>
      <xdr:colOff>773906</xdr:colOff>
      <xdr:row>19</xdr:row>
      <xdr:rowOff>190499</xdr:rowOff>
    </xdr:to>
    <xdr:sp macro="" textlink="">
      <xdr:nvSpPr>
        <xdr:cNvPr id="55" name="Rahmen 54"/>
        <xdr:cNvSpPr/>
      </xdr:nvSpPr>
      <xdr:spPr>
        <a:xfrm>
          <a:off x="0" y="3607593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59529</xdr:colOff>
      <xdr:row>0</xdr:row>
      <xdr:rowOff>0</xdr:rowOff>
    </xdr:from>
    <xdr:to>
      <xdr:col>6</xdr:col>
      <xdr:colOff>1333498</xdr:colOff>
      <xdr:row>3</xdr:row>
      <xdr:rowOff>154781</xdr:rowOff>
    </xdr:to>
    <xdr:sp macro="" textlink="">
      <xdr:nvSpPr>
        <xdr:cNvPr id="56" name="Rahmen 55"/>
        <xdr:cNvSpPr/>
      </xdr:nvSpPr>
      <xdr:spPr>
        <a:xfrm>
          <a:off x="4202904" y="0"/>
          <a:ext cx="3286125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LANGE Injektor-Flachstrahldüsen</a:t>
          </a:r>
          <a:b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3,0 bis 5,0 bar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102394</xdr:rowOff>
    </xdr:from>
    <xdr:to>
      <xdr:col>19</xdr:col>
      <xdr:colOff>372686</xdr:colOff>
      <xdr:row>33</xdr:row>
      <xdr:rowOff>145407</xdr:rowOff>
    </xdr:to>
    <xdr:grpSp>
      <xdr:nvGrpSpPr>
        <xdr:cNvPr id="10" name="Gruppieren 9"/>
        <xdr:cNvGrpSpPr/>
      </xdr:nvGrpSpPr>
      <xdr:grpSpPr>
        <a:xfrm>
          <a:off x="0" y="5924550"/>
          <a:ext cx="13707686" cy="1852763"/>
          <a:chOff x="95250" y="3579019"/>
          <a:chExt cx="13707686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707686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59530</xdr:rowOff>
    </xdr:from>
    <xdr:to>
      <xdr:col>3</xdr:col>
      <xdr:colOff>773906</xdr:colOff>
      <xdr:row>19</xdr:row>
      <xdr:rowOff>214311</xdr:rowOff>
    </xdr:to>
    <xdr:sp macro="" textlink="">
      <xdr:nvSpPr>
        <xdr:cNvPr id="11" name="Rahmen 10"/>
        <xdr:cNvSpPr/>
      </xdr:nvSpPr>
      <xdr:spPr>
        <a:xfrm>
          <a:off x="0" y="3619499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47623</xdr:colOff>
      <xdr:row>0</xdr:row>
      <xdr:rowOff>0</xdr:rowOff>
    </xdr:from>
    <xdr:to>
      <xdr:col>6</xdr:col>
      <xdr:colOff>1678781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190998" y="0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KURZE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2,0 bis 3,0 bar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25</xdr:row>
      <xdr:rowOff>78582</xdr:rowOff>
    </xdr:from>
    <xdr:to>
      <xdr:col>19</xdr:col>
      <xdr:colOff>396498</xdr:colOff>
      <xdr:row>33</xdr:row>
      <xdr:rowOff>121595</xdr:rowOff>
    </xdr:to>
    <xdr:grpSp>
      <xdr:nvGrpSpPr>
        <xdr:cNvPr id="10" name="Gruppieren 9"/>
        <xdr:cNvGrpSpPr/>
      </xdr:nvGrpSpPr>
      <xdr:grpSpPr>
        <a:xfrm>
          <a:off x="23813" y="5900738"/>
          <a:ext cx="13695779" cy="1852763"/>
          <a:chOff x="95250" y="3579019"/>
          <a:chExt cx="13695779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695779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71436</xdr:rowOff>
    </xdr:from>
    <xdr:to>
      <xdr:col>3</xdr:col>
      <xdr:colOff>773906</xdr:colOff>
      <xdr:row>19</xdr:row>
      <xdr:rowOff>226217</xdr:rowOff>
    </xdr:to>
    <xdr:sp macro="" textlink="">
      <xdr:nvSpPr>
        <xdr:cNvPr id="11" name="Rahmen 10"/>
        <xdr:cNvSpPr/>
      </xdr:nvSpPr>
      <xdr:spPr>
        <a:xfrm>
          <a:off x="0" y="3631405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23811</xdr:colOff>
      <xdr:row>0</xdr:row>
      <xdr:rowOff>0</xdr:rowOff>
    </xdr:from>
    <xdr:to>
      <xdr:col>6</xdr:col>
      <xdr:colOff>1654969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167186" y="0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LANGE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3,0 bis 5,0 bar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25</xdr:row>
      <xdr:rowOff>114299</xdr:rowOff>
    </xdr:from>
    <xdr:to>
      <xdr:col>19</xdr:col>
      <xdr:colOff>423713</xdr:colOff>
      <xdr:row>33</xdr:row>
      <xdr:rowOff>157313</xdr:rowOff>
    </xdr:to>
    <xdr:grpSp>
      <xdr:nvGrpSpPr>
        <xdr:cNvPr id="10" name="Gruppieren 9"/>
        <xdr:cNvGrpSpPr/>
      </xdr:nvGrpSpPr>
      <xdr:grpSpPr>
        <a:xfrm>
          <a:off x="54429" y="5936455"/>
          <a:ext cx="13430440" cy="1852764"/>
          <a:chOff x="95250" y="3679371"/>
          <a:chExt cx="13418534" cy="1893585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984144"/>
            <a:ext cx="13418534" cy="588812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784410"/>
            <a:ext cx="4864261" cy="1125359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42204" y="3679371"/>
            <a:ext cx="4799899" cy="1217922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52500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52500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52500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06780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39243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119062</xdr:rowOff>
    </xdr:from>
    <xdr:to>
      <xdr:col>3</xdr:col>
      <xdr:colOff>773906</xdr:colOff>
      <xdr:row>20</xdr:row>
      <xdr:rowOff>47624</xdr:rowOff>
    </xdr:to>
    <xdr:sp macro="" textlink="">
      <xdr:nvSpPr>
        <xdr:cNvPr id="11" name="Rahmen 10"/>
        <xdr:cNvSpPr/>
      </xdr:nvSpPr>
      <xdr:spPr>
        <a:xfrm>
          <a:off x="0" y="3679031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440532</xdr:colOff>
      <xdr:row>0</xdr:row>
      <xdr:rowOff>190501</xdr:rowOff>
    </xdr:from>
    <xdr:to>
      <xdr:col>6</xdr:col>
      <xdr:colOff>988220</xdr:colOff>
      <xdr:row>3</xdr:row>
      <xdr:rowOff>107157</xdr:rowOff>
    </xdr:to>
    <xdr:sp macro="" textlink="">
      <xdr:nvSpPr>
        <xdr:cNvPr id="12" name="Rahmen 11"/>
        <xdr:cNvSpPr/>
      </xdr:nvSpPr>
      <xdr:spPr>
        <a:xfrm>
          <a:off x="5345907" y="190501"/>
          <a:ext cx="1797844" cy="619125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Vorauflaufdüsen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</xdr:colOff>
      <xdr:row>25</xdr:row>
      <xdr:rowOff>90488</xdr:rowOff>
    </xdr:from>
    <xdr:to>
      <xdr:col>19</xdr:col>
      <xdr:colOff>396498</xdr:colOff>
      <xdr:row>33</xdr:row>
      <xdr:rowOff>133501</xdr:rowOff>
    </xdr:to>
    <xdr:grpSp>
      <xdr:nvGrpSpPr>
        <xdr:cNvPr id="10" name="Gruppieren 9"/>
        <xdr:cNvGrpSpPr/>
      </xdr:nvGrpSpPr>
      <xdr:grpSpPr>
        <a:xfrm>
          <a:off x="23812" y="5912644"/>
          <a:ext cx="13410030" cy="1852763"/>
          <a:chOff x="95250" y="3579019"/>
          <a:chExt cx="13279061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279061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5413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52500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52500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52500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06780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39243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107152</xdr:rowOff>
    </xdr:from>
    <xdr:to>
      <xdr:col>3</xdr:col>
      <xdr:colOff>773906</xdr:colOff>
      <xdr:row>20</xdr:row>
      <xdr:rowOff>35714</xdr:rowOff>
    </xdr:to>
    <xdr:sp macro="" textlink="">
      <xdr:nvSpPr>
        <xdr:cNvPr id="11" name="Rahmen 10"/>
        <xdr:cNvSpPr/>
      </xdr:nvSpPr>
      <xdr:spPr>
        <a:xfrm>
          <a:off x="0" y="3667121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619124</xdr:colOff>
      <xdr:row>1</xdr:row>
      <xdr:rowOff>35716</xdr:rowOff>
    </xdr:from>
    <xdr:to>
      <xdr:col>6</xdr:col>
      <xdr:colOff>1273970</xdr:colOff>
      <xdr:row>3</xdr:row>
      <xdr:rowOff>154779</xdr:rowOff>
    </xdr:to>
    <xdr:sp macro="" textlink="">
      <xdr:nvSpPr>
        <xdr:cNvPr id="12" name="Rahmen 11"/>
        <xdr:cNvSpPr/>
      </xdr:nvSpPr>
      <xdr:spPr>
        <a:xfrm>
          <a:off x="4762499" y="261935"/>
          <a:ext cx="2667002" cy="595313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Flachstrahldüsen ohne Injektor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25</xdr:row>
      <xdr:rowOff>90488</xdr:rowOff>
    </xdr:from>
    <xdr:to>
      <xdr:col>19</xdr:col>
      <xdr:colOff>384591</xdr:colOff>
      <xdr:row>33</xdr:row>
      <xdr:rowOff>133501</xdr:rowOff>
    </xdr:to>
    <xdr:grpSp>
      <xdr:nvGrpSpPr>
        <xdr:cNvPr id="10" name="Gruppieren 9"/>
        <xdr:cNvGrpSpPr/>
      </xdr:nvGrpSpPr>
      <xdr:grpSpPr>
        <a:xfrm>
          <a:off x="11906" y="5912644"/>
          <a:ext cx="13410029" cy="1852763"/>
          <a:chOff x="95250" y="3579019"/>
          <a:chExt cx="13410029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410029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5413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296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130967</xdr:rowOff>
    </xdr:from>
    <xdr:to>
      <xdr:col>3</xdr:col>
      <xdr:colOff>773906</xdr:colOff>
      <xdr:row>20</xdr:row>
      <xdr:rowOff>59529</xdr:rowOff>
    </xdr:to>
    <xdr:sp macro="" textlink="">
      <xdr:nvSpPr>
        <xdr:cNvPr id="11" name="Rahmen 10"/>
        <xdr:cNvSpPr/>
      </xdr:nvSpPr>
      <xdr:spPr>
        <a:xfrm>
          <a:off x="0" y="3690936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71437</xdr:colOff>
      <xdr:row>1</xdr:row>
      <xdr:rowOff>59531</xdr:rowOff>
    </xdr:from>
    <xdr:to>
      <xdr:col>6</xdr:col>
      <xdr:colOff>1273970</xdr:colOff>
      <xdr:row>3</xdr:row>
      <xdr:rowOff>178594</xdr:rowOff>
    </xdr:to>
    <xdr:sp macro="" textlink="">
      <xdr:nvSpPr>
        <xdr:cNvPr id="12" name="Rahmen 11"/>
        <xdr:cNvSpPr/>
      </xdr:nvSpPr>
      <xdr:spPr>
        <a:xfrm>
          <a:off x="4214812" y="285750"/>
          <a:ext cx="3214689" cy="595313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Doppel-Flachstrahldüsen ohne Injektor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119062</xdr:colOff>
      <xdr:row>33</xdr:row>
      <xdr:rowOff>107685</xdr:rowOff>
    </xdr:from>
    <xdr:to>
      <xdr:col>20</xdr:col>
      <xdr:colOff>39310</xdr:colOff>
      <xdr:row>36</xdr:row>
      <xdr:rowOff>2532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119062" y="7739591"/>
          <a:ext cx="13279061" cy="573504"/>
        </a:xfrm>
        <a:prstGeom prst="foldedCorner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</a:r>
        </a:p>
      </xdr:txBody>
    </xdr:sp>
    <xdr:clientData/>
  </xdr:twoCellAnchor>
  <xdr:twoCellAnchor editAs="oneCell">
    <xdr:from>
      <xdr:col>0</xdr:col>
      <xdr:colOff>178594</xdr:colOff>
      <xdr:row>28</xdr:row>
      <xdr:rowOff>64558</xdr:rowOff>
    </xdr:from>
    <xdr:to>
      <xdr:col>5</xdr:col>
      <xdr:colOff>117069</xdr:colOff>
      <xdr:row>33</xdr:row>
      <xdr:rowOff>33310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4" y="6565371"/>
          <a:ext cx="4843850" cy="1099845"/>
        </a:xfrm>
        <a:prstGeom prst="rect">
          <a:avLst/>
        </a:prstGeom>
      </xdr:spPr>
    </xdr:pic>
    <xdr:clientData/>
  </xdr:twoCellAnchor>
  <xdr:twoCellAnchor editAs="oneCell">
    <xdr:from>
      <xdr:col>6</xdr:col>
      <xdr:colOff>88373</xdr:colOff>
      <xdr:row>27</xdr:row>
      <xdr:rowOff>185738</xdr:rowOff>
    </xdr:from>
    <xdr:to>
      <xdr:col>12</xdr:col>
      <xdr:colOff>341786</xdr:colOff>
      <xdr:row>33</xdr:row>
      <xdr:rowOff>20834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3904" y="6460332"/>
          <a:ext cx="4825413" cy="119240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2773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8296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0965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0965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0965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64882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15</xdr:row>
      <xdr:rowOff>71434</xdr:rowOff>
    </xdr:from>
    <xdr:to>
      <xdr:col>3</xdr:col>
      <xdr:colOff>773906</xdr:colOff>
      <xdr:row>19</xdr:row>
      <xdr:rowOff>190496</xdr:rowOff>
    </xdr:to>
    <xdr:sp macro="" textlink="">
      <xdr:nvSpPr>
        <xdr:cNvPr id="14" name="Rahmen 13"/>
        <xdr:cNvSpPr/>
      </xdr:nvSpPr>
      <xdr:spPr>
        <a:xfrm>
          <a:off x="0" y="3631403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11906</xdr:colOff>
      <xdr:row>0</xdr:row>
      <xdr:rowOff>107154</xdr:rowOff>
    </xdr:from>
    <xdr:to>
      <xdr:col>13</xdr:col>
      <xdr:colOff>357188</xdr:colOff>
      <xdr:row>2</xdr:row>
      <xdr:rowOff>178591</xdr:rowOff>
    </xdr:to>
    <xdr:sp macro="" textlink="">
      <xdr:nvSpPr>
        <xdr:cNvPr id="15" name="Rahmen 14"/>
        <xdr:cNvSpPr/>
      </xdr:nvSpPr>
      <xdr:spPr>
        <a:xfrm>
          <a:off x="4917281" y="107154"/>
          <a:ext cx="6619876" cy="535781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Randdüsen Lechler (nicht ISO) - gleiche Farbe/Größe wie im Gestänge</a:t>
          </a:r>
        </a:p>
      </xdr:txBody>
    </xdr:sp>
    <xdr:clientData/>
  </xdr:twoCellAnchor>
  <xdr:twoCellAnchor>
    <xdr:from>
      <xdr:col>4</xdr:col>
      <xdr:colOff>738186</xdr:colOff>
      <xdr:row>14</xdr:row>
      <xdr:rowOff>83343</xdr:rowOff>
    </xdr:from>
    <xdr:to>
      <xdr:col>15</xdr:col>
      <xdr:colOff>202406</xdr:colOff>
      <xdr:row>16</xdr:row>
      <xdr:rowOff>154780</xdr:rowOff>
    </xdr:to>
    <xdr:sp macro="" textlink="">
      <xdr:nvSpPr>
        <xdr:cNvPr id="16" name="Rahmen 15"/>
        <xdr:cNvSpPr/>
      </xdr:nvSpPr>
      <xdr:spPr>
        <a:xfrm>
          <a:off x="4881561" y="3405187"/>
          <a:ext cx="7405689" cy="535781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Randdüsen andere (ISO) - Randdüse ist eine Größe kleiner als Düsen im Gestänge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25</xdr:row>
      <xdr:rowOff>90488</xdr:rowOff>
    </xdr:from>
    <xdr:to>
      <xdr:col>19</xdr:col>
      <xdr:colOff>384591</xdr:colOff>
      <xdr:row>33</xdr:row>
      <xdr:rowOff>133501</xdr:rowOff>
    </xdr:to>
    <xdr:grpSp>
      <xdr:nvGrpSpPr>
        <xdr:cNvPr id="14" name="Gruppieren 13"/>
        <xdr:cNvGrpSpPr/>
      </xdr:nvGrpSpPr>
      <xdr:grpSpPr>
        <a:xfrm>
          <a:off x="11906" y="5912644"/>
          <a:ext cx="14267279" cy="1852763"/>
          <a:chOff x="95250" y="4150519"/>
          <a:chExt cx="14267279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5429778"/>
            <a:ext cx="14267279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42555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4150519"/>
            <a:ext cx="4825413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715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715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715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2679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71562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71562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71562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26795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15</xdr:row>
      <xdr:rowOff>178592</xdr:rowOff>
    </xdr:from>
    <xdr:to>
      <xdr:col>3</xdr:col>
      <xdr:colOff>773906</xdr:colOff>
      <xdr:row>20</xdr:row>
      <xdr:rowOff>107154</xdr:rowOff>
    </xdr:to>
    <xdr:sp macro="" textlink="">
      <xdr:nvSpPr>
        <xdr:cNvPr id="15" name="Rahmen 14"/>
        <xdr:cNvSpPr/>
      </xdr:nvSpPr>
      <xdr:spPr>
        <a:xfrm>
          <a:off x="0" y="3738561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202406</xdr:colOff>
      <xdr:row>0</xdr:row>
      <xdr:rowOff>59530</xdr:rowOff>
    </xdr:from>
    <xdr:to>
      <xdr:col>9</xdr:col>
      <xdr:colOff>142875</xdr:colOff>
      <xdr:row>2</xdr:row>
      <xdr:rowOff>214311</xdr:rowOff>
    </xdr:to>
    <xdr:sp macro="" textlink="">
      <xdr:nvSpPr>
        <xdr:cNvPr id="16" name="Rahmen 15"/>
        <xdr:cNvSpPr/>
      </xdr:nvSpPr>
      <xdr:spPr>
        <a:xfrm>
          <a:off x="4345781" y="59530"/>
          <a:ext cx="5167313" cy="619125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Mischbestückung mit 6 x Flachstrahldüse hinter der Spritze bei Doppelflachstrahldüsen wenn es zum anspritzen</a:t>
          </a:r>
          <a:r>
            <a:rPr lang="de-DE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kommt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35719</xdr:colOff>
      <xdr:row>25</xdr:row>
      <xdr:rowOff>78582</xdr:rowOff>
    </xdr:from>
    <xdr:to>
      <xdr:col>19</xdr:col>
      <xdr:colOff>408404</xdr:colOff>
      <xdr:row>33</xdr:row>
      <xdr:rowOff>121595</xdr:rowOff>
    </xdr:to>
    <xdr:grpSp>
      <xdr:nvGrpSpPr>
        <xdr:cNvPr id="10" name="Gruppieren 9"/>
        <xdr:cNvGrpSpPr/>
      </xdr:nvGrpSpPr>
      <xdr:grpSpPr>
        <a:xfrm>
          <a:off x="35719" y="5900738"/>
          <a:ext cx="12981404" cy="1852763"/>
          <a:chOff x="95250" y="3579019"/>
          <a:chExt cx="12981404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2981404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439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47624</xdr:rowOff>
    </xdr:from>
    <xdr:to>
      <xdr:col>3</xdr:col>
      <xdr:colOff>773906</xdr:colOff>
      <xdr:row>19</xdr:row>
      <xdr:rowOff>202405</xdr:rowOff>
    </xdr:to>
    <xdr:sp macro="" textlink="">
      <xdr:nvSpPr>
        <xdr:cNvPr id="11" name="Rahmen 10"/>
        <xdr:cNvSpPr/>
      </xdr:nvSpPr>
      <xdr:spPr>
        <a:xfrm>
          <a:off x="0" y="3607593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23811</xdr:colOff>
      <xdr:row>0</xdr:row>
      <xdr:rowOff>0</xdr:rowOff>
    </xdr:from>
    <xdr:to>
      <xdr:col>7</xdr:col>
      <xdr:colOff>273842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167186" y="0"/>
          <a:ext cx="3286125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KURZE Injektor-Flachstrahldüsen</a:t>
          </a:r>
          <a:b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2,0 bis 3,0 bar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</xdr:colOff>
      <xdr:row>25</xdr:row>
      <xdr:rowOff>114300</xdr:rowOff>
    </xdr:from>
    <xdr:to>
      <xdr:col>19</xdr:col>
      <xdr:colOff>396497</xdr:colOff>
      <xdr:row>33</xdr:row>
      <xdr:rowOff>157313</xdr:rowOff>
    </xdr:to>
    <xdr:grpSp>
      <xdr:nvGrpSpPr>
        <xdr:cNvPr id="10" name="Gruppieren 9"/>
        <xdr:cNvGrpSpPr/>
      </xdr:nvGrpSpPr>
      <xdr:grpSpPr>
        <a:xfrm>
          <a:off x="23812" y="5936456"/>
          <a:ext cx="13398123" cy="1852763"/>
          <a:chOff x="95250" y="3579019"/>
          <a:chExt cx="13124279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124279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47624</xdr:rowOff>
    </xdr:from>
    <xdr:to>
      <xdr:col>3</xdr:col>
      <xdr:colOff>773906</xdr:colOff>
      <xdr:row>19</xdr:row>
      <xdr:rowOff>202405</xdr:rowOff>
    </xdr:to>
    <xdr:sp macro="" textlink="">
      <xdr:nvSpPr>
        <xdr:cNvPr id="11" name="Rahmen 10"/>
        <xdr:cNvSpPr/>
      </xdr:nvSpPr>
      <xdr:spPr>
        <a:xfrm>
          <a:off x="0" y="3607593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59529</xdr:colOff>
      <xdr:row>0</xdr:row>
      <xdr:rowOff>0</xdr:rowOff>
    </xdr:from>
    <xdr:to>
      <xdr:col>6</xdr:col>
      <xdr:colOff>1238250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202904" y="0"/>
          <a:ext cx="3190877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LANGE Injektor-Flachstrahldüsen</a:t>
          </a:r>
          <a:b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3,0 bis 5,0 bar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138792</xdr:rowOff>
    </xdr:from>
    <xdr:to>
      <xdr:col>19</xdr:col>
      <xdr:colOff>369284</xdr:colOff>
      <xdr:row>33</xdr:row>
      <xdr:rowOff>143706</xdr:rowOff>
    </xdr:to>
    <xdr:grpSp>
      <xdr:nvGrpSpPr>
        <xdr:cNvPr id="9" name="Gruppieren 8"/>
        <xdr:cNvGrpSpPr/>
      </xdr:nvGrpSpPr>
      <xdr:grpSpPr>
        <a:xfrm>
          <a:off x="0" y="5960948"/>
          <a:ext cx="13168503" cy="1814664"/>
          <a:chOff x="95250" y="3717471"/>
          <a:chExt cx="13146391" cy="1855485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984144"/>
            <a:ext cx="13146391" cy="588812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784410"/>
            <a:ext cx="4864261" cy="1125359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32679" y="3717471"/>
            <a:ext cx="4806702" cy="1217922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439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83343</xdr:rowOff>
    </xdr:from>
    <xdr:to>
      <xdr:col>3</xdr:col>
      <xdr:colOff>763701</xdr:colOff>
      <xdr:row>19</xdr:row>
      <xdr:rowOff>217713</xdr:rowOff>
    </xdr:to>
    <xdr:sp macro="" textlink="">
      <xdr:nvSpPr>
        <xdr:cNvPr id="10" name="Rahmen 9"/>
        <xdr:cNvSpPr/>
      </xdr:nvSpPr>
      <xdr:spPr>
        <a:xfrm>
          <a:off x="0" y="3743664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47625</xdr:colOff>
      <xdr:row>0</xdr:row>
      <xdr:rowOff>0</xdr:rowOff>
    </xdr:from>
    <xdr:to>
      <xdr:col>6</xdr:col>
      <xdr:colOff>1180420</xdr:colOff>
      <xdr:row>3</xdr:row>
      <xdr:rowOff>171790</xdr:rowOff>
    </xdr:to>
    <xdr:sp macro="" textlink="">
      <xdr:nvSpPr>
        <xdr:cNvPr id="11" name="Rahmen 10"/>
        <xdr:cNvSpPr/>
      </xdr:nvSpPr>
      <xdr:spPr>
        <a:xfrm>
          <a:off x="4191000" y="0"/>
          <a:ext cx="3144951" cy="87425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Düsen </a:t>
          </a: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25 cm Düsenabstand im Gestänge und 40 cm Abstand zur Zielfläche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102395</xdr:rowOff>
    </xdr:from>
    <xdr:to>
      <xdr:col>19</xdr:col>
      <xdr:colOff>372686</xdr:colOff>
      <xdr:row>33</xdr:row>
      <xdr:rowOff>145408</xdr:rowOff>
    </xdr:to>
    <xdr:grpSp>
      <xdr:nvGrpSpPr>
        <xdr:cNvPr id="10" name="Gruppieren 9"/>
        <xdr:cNvGrpSpPr/>
      </xdr:nvGrpSpPr>
      <xdr:grpSpPr>
        <a:xfrm>
          <a:off x="0" y="5924551"/>
          <a:ext cx="13374311" cy="1852763"/>
          <a:chOff x="95250" y="3579019"/>
          <a:chExt cx="13374311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374311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59530</xdr:rowOff>
    </xdr:from>
    <xdr:to>
      <xdr:col>3</xdr:col>
      <xdr:colOff>773906</xdr:colOff>
      <xdr:row>19</xdr:row>
      <xdr:rowOff>214311</xdr:rowOff>
    </xdr:to>
    <xdr:sp macro="" textlink="">
      <xdr:nvSpPr>
        <xdr:cNvPr id="11" name="Rahmen 10"/>
        <xdr:cNvSpPr/>
      </xdr:nvSpPr>
      <xdr:spPr>
        <a:xfrm>
          <a:off x="0" y="3619499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47623</xdr:colOff>
      <xdr:row>0</xdr:row>
      <xdr:rowOff>0</xdr:rowOff>
    </xdr:from>
    <xdr:to>
      <xdr:col>7</xdr:col>
      <xdr:colOff>261937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190998" y="0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KURZE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2,0 bis 3,0 bar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25</xdr:row>
      <xdr:rowOff>102394</xdr:rowOff>
    </xdr:from>
    <xdr:to>
      <xdr:col>19</xdr:col>
      <xdr:colOff>396498</xdr:colOff>
      <xdr:row>33</xdr:row>
      <xdr:rowOff>145407</xdr:rowOff>
    </xdr:to>
    <xdr:grpSp>
      <xdr:nvGrpSpPr>
        <xdr:cNvPr id="10" name="Gruppieren 9"/>
        <xdr:cNvGrpSpPr/>
      </xdr:nvGrpSpPr>
      <xdr:grpSpPr>
        <a:xfrm>
          <a:off x="23813" y="5924550"/>
          <a:ext cx="13695779" cy="1852763"/>
          <a:chOff x="95250" y="3579019"/>
          <a:chExt cx="13695779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695779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71436</xdr:rowOff>
    </xdr:from>
    <xdr:to>
      <xdr:col>3</xdr:col>
      <xdr:colOff>773906</xdr:colOff>
      <xdr:row>19</xdr:row>
      <xdr:rowOff>226217</xdr:rowOff>
    </xdr:to>
    <xdr:sp macro="" textlink="">
      <xdr:nvSpPr>
        <xdr:cNvPr id="11" name="Rahmen 10"/>
        <xdr:cNvSpPr/>
      </xdr:nvSpPr>
      <xdr:spPr>
        <a:xfrm>
          <a:off x="0" y="3631405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23811</xdr:colOff>
      <xdr:row>0</xdr:row>
      <xdr:rowOff>0</xdr:rowOff>
    </xdr:from>
    <xdr:to>
      <xdr:col>6</xdr:col>
      <xdr:colOff>1654969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167186" y="0"/>
          <a:ext cx="3643314" cy="857250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LANGE Injektor-Doppel-Flachstrahldüsen</a:t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opt. Druckbereich 3,0 bis 5,0 bar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35719</xdr:colOff>
      <xdr:row>25</xdr:row>
      <xdr:rowOff>114300</xdr:rowOff>
    </xdr:from>
    <xdr:to>
      <xdr:col>19</xdr:col>
      <xdr:colOff>408405</xdr:colOff>
      <xdr:row>33</xdr:row>
      <xdr:rowOff>157313</xdr:rowOff>
    </xdr:to>
    <xdr:grpSp>
      <xdr:nvGrpSpPr>
        <xdr:cNvPr id="10" name="Gruppieren 9"/>
        <xdr:cNvGrpSpPr/>
      </xdr:nvGrpSpPr>
      <xdr:grpSpPr>
        <a:xfrm>
          <a:off x="35719" y="5936456"/>
          <a:ext cx="13338592" cy="1852763"/>
          <a:chOff x="95250" y="3579019"/>
          <a:chExt cx="13338592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338592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02208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02208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02208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64880" y="204978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39243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119061</xdr:rowOff>
    </xdr:from>
    <xdr:to>
      <xdr:col>3</xdr:col>
      <xdr:colOff>773906</xdr:colOff>
      <xdr:row>20</xdr:row>
      <xdr:rowOff>47623</xdr:rowOff>
    </xdr:to>
    <xdr:sp macro="" textlink="">
      <xdr:nvSpPr>
        <xdr:cNvPr id="11" name="Rahmen 10"/>
        <xdr:cNvSpPr/>
      </xdr:nvSpPr>
      <xdr:spPr>
        <a:xfrm>
          <a:off x="0" y="3679030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619124</xdr:colOff>
      <xdr:row>1</xdr:row>
      <xdr:rowOff>47625</xdr:rowOff>
    </xdr:from>
    <xdr:to>
      <xdr:col>6</xdr:col>
      <xdr:colOff>1273970</xdr:colOff>
      <xdr:row>3</xdr:row>
      <xdr:rowOff>166688</xdr:rowOff>
    </xdr:to>
    <xdr:sp macro="" textlink="">
      <xdr:nvSpPr>
        <xdr:cNvPr id="12" name="Rahmen 11"/>
        <xdr:cNvSpPr/>
      </xdr:nvSpPr>
      <xdr:spPr>
        <a:xfrm>
          <a:off x="4762499" y="273844"/>
          <a:ext cx="2667002" cy="595313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Flachstrahldüsen ohne Injektor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114300</xdr:rowOff>
    </xdr:from>
    <xdr:to>
      <xdr:col>19</xdr:col>
      <xdr:colOff>372686</xdr:colOff>
      <xdr:row>33</xdr:row>
      <xdr:rowOff>157313</xdr:rowOff>
    </xdr:to>
    <xdr:grpSp>
      <xdr:nvGrpSpPr>
        <xdr:cNvPr id="10" name="Gruppieren 9"/>
        <xdr:cNvGrpSpPr/>
      </xdr:nvGrpSpPr>
      <xdr:grpSpPr>
        <a:xfrm>
          <a:off x="0" y="5936456"/>
          <a:ext cx="13338592" cy="1852763"/>
          <a:chOff x="95250" y="3579019"/>
          <a:chExt cx="13338592" cy="18527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858278"/>
            <a:ext cx="13338592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107154</xdr:rowOff>
    </xdr:from>
    <xdr:to>
      <xdr:col>3</xdr:col>
      <xdr:colOff>773906</xdr:colOff>
      <xdr:row>20</xdr:row>
      <xdr:rowOff>35716</xdr:rowOff>
    </xdr:to>
    <xdr:sp macro="" textlink="">
      <xdr:nvSpPr>
        <xdr:cNvPr id="11" name="Rahmen 10"/>
        <xdr:cNvSpPr/>
      </xdr:nvSpPr>
      <xdr:spPr>
        <a:xfrm>
          <a:off x="0" y="3667123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71437</xdr:colOff>
      <xdr:row>1</xdr:row>
      <xdr:rowOff>35718</xdr:rowOff>
    </xdr:from>
    <xdr:to>
      <xdr:col>6</xdr:col>
      <xdr:colOff>1273970</xdr:colOff>
      <xdr:row>3</xdr:row>
      <xdr:rowOff>154781</xdr:rowOff>
    </xdr:to>
    <xdr:sp macro="" textlink="">
      <xdr:nvSpPr>
        <xdr:cNvPr id="12" name="Rahmen 11"/>
        <xdr:cNvSpPr/>
      </xdr:nvSpPr>
      <xdr:spPr>
        <a:xfrm>
          <a:off x="4214812" y="261937"/>
          <a:ext cx="3214689" cy="595313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Doppel-Flachstrahldüsen ohne Injektor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130970</xdr:colOff>
      <xdr:row>34</xdr:row>
      <xdr:rowOff>143404</xdr:rowOff>
    </xdr:from>
    <xdr:to>
      <xdr:col>20</xdr:col>
      <xdr:colOff>51218</xdr:colOff>
      <xdr:row>37</xdr:row>
      <xdr:rowOff>38252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130970" y="8001529"/>
          <a:ext cx="12790904" cy="573504"/>
        </a:xfrm>
        <a:prstGeom prst="foldedCorner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</a:r>
        </a:p>
      </xdr:txBody>
    </xdr:sp>
    <xdr:clientData/>
  </xdr:twoCellAnchor>
  <xdr:twoCellAnchor editAs="oneCell">
    <xdr:from>
      <xdr:col>0</xdr:col>
      <xdr:colOff>190502</xdr:colOff>
      <xdr:row>29</xdr:row>
      <xdr:rowOff>100278</xdr:rowOff>
    </xdr:from>
    <xdr:to>
      <xdr:col>5</xdr:col>
      <xdr:colOff>128977</xdr:colOff>
      <xdr:row>34</xdr:row>
      <xdr:rowOff>69029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2" y="6827309"/>
          <a:ext cx="4843850" cy="1099845"/>
        </a:xfrm>
        <a:prstGeom prst="rect">
          <a:avLst/>
        </a:prstGeom>
      </xdr:spPr>
    </xdr:pic>
    <xdr:clientData/>
  </xdr:twoCellAnchor>
  <xdr:twoCellAnchor editAs="oneCell">
    <xdr:from>
      <xdr:col>6</xdr:col>
      <xdr:colOff>100281</xdr:colOff>
      <xdr:row>28</xdr:row>
      <xdr:rowOff>221457</xdr:rowOff>
    </xdr:from>
    <xdr:to>
      <xdr:col>14</xdr:col>
      <xdr:colOff>153668</xdr:colOff>
      <xdr:row>34</xdr:row>
      <xdr:rowOff>56553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5812" y="6722270"/>
          <a:ext cx="4827794" cy="119240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915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9" name="Rahmen 8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0203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0203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23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100203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57262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0</xdr:colOff>
      <xdr:row>15</xdr:row>
      <xdr:rowOff>83340</xdr:rowOff>
    </xdr:from>
    <xdr:to>
      <xdr:col>3</xdr:col>
      <xdr:colOff>773906</xdr:colOff>
      <xdr:row>19</xdr:row>
      <xdr:rowOff>202402</xdr:rowOff>
    </xdr:to>
    <xdr:sp macro="" textlink="">
      <xdr:nvSpPr>
        <xdr:cNvPr id="14" name="Rahmen 13"/>
        <xdr:cNvSpPr/>
      </xdr:nvSpPr>
      <xdr:spPr>
        <a:xfrm>
          <a:off x="0" y="3643309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11906</xdr:colOff>
      <xdr:row>0</xdr:row>
      <xdr:rowOff>119060</xdr:rowOff>
    </xdr:from>
    <xdr:to>
      <xdr:col>15</xdr:col>
      <xdr:colOff>154782</xdr:colOff>
      <xdr:row>2</xdr:row>
      <xdr:rowOff>190497</xdr:rowOff>
    </xdr:to>
    <xdr:sp macro="" textlink="">
      <xdr:nvSpPr>
        <xdr:cNvPr id="15" name="Rahmen 14"/>
        <xdr:cNvSpPr/>
      </xdr:nvSpPr>
      <xdr:spPr>
        <a:xfrm>
          <a:off x="4917281" y="119060"/>
          <a:ext cx="6619876" cy="535781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Randdüsen Lechler (nicht ISO) - gleiche Farbe/Größe wie im Gestänge</a:t>
          </a:r>
        </a:p>
      </xdr:txBody>
    </xdr:sp>
    <xdr:clientData/>
  </xdr:twoCellAnchor>
  <xdr:twoCellAnchor>
    <xdr:from>
      <xdr:col>4</xdr:col>
      <xdr:colOff>738186</xdr:colOff>
      <xdr:row>14</xdr:row>
      <xdr:rowOff>95249</xdr:rowOff>
    </xdr:from>
    <xdr:to>
      <xdr:col>17</xdr:col>
      <xdr:colOff>0</xdr:colOff>
      <xdr:row>16</xdr:row>
      <xdr:rowOff>166686</xdr:rowOff>
    </xdr:to>
    <xdr:sp macro="" textlink="">
      <xdr:nvSpPr>
        <xdr:cNvPr id="16" name="Rahmen 15"/>
        <xdr:cNvSpPr/>
      </xdr:nvSpPr>
      <xdr:spPr>
        <a:xfrm>
          <a:off x="4881561" y="3417093"/>
          <a:ext cx="7405689" cy="535781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Randdüsen andere (ISO) - Randdüse ist eine Größe kleiner als Düsen im Gestänge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90488</xdr:rowOff>
    </xdr:from>
    <xdr:to>
      <xdr:col>17</xdr:col>
      <xdr:colOff>289341</xdr:colOff>
      <xdr:row>33</xdr:row>
      <xdr:rowOff>133501</xdr:rowOff>
    </xdr:to>
    <xdr:grpSp>
      <xdr:nvGrpSpPr>
        <xdr:cNvPr id="2" name="Gruppieren 1"/>
        <xdr:cNvGrpSpPr/>
      </xdr:nvGrpSpPr>
      <xdr:grpSpPr>
        <a:xfrm>
          <a:off x="0" y="5912644"/>
          <a:ext cx="12981404" cy="1852763"/>
          <a:chOff x="95250" y="3579019"/>
          <a:chExt cx="12981404" cy="1852763"/>
        </a:xfrm>
      </xdr:grpSpPr>
      <xdr:sp macro="" textlink="">
        <xdr:nvSpPr>
          <xdr:cNvPr id="3" name="AutoShape 8"/>
          <xdr:cNvSpPr>
            <a:spLocks noChangeArrowheads="1"/>
          </xdr:cNvSpPr>
        </xdr:nvSpPr>
        <xdr:spPr bwMode="auto">
          <a:xfrm>
            <a:off x="95250" y="4858278"/>
            <a:ext cx="12981404" cy="573504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684058"/>
            <a:ext cx="4843850" cy="1099845"/>
          </a:xfrm>
          <a:prstGeom prst="rect">
            <a:avLst/>
          </a:prstGeom>
        </xdr:spPr>
      </xdr:pic>
      <xdr:pic>
        <xdr:nvPicPr>
          <xdr:cNvPr id="5" name="Grafik 4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92" y="3579019"/>
            <a:ext cx="4827794" cy="119240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725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725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725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66675</xdr:rowOff>
    </xdr:to>
    <xdr:sp macro="" textlink="">
      <xdr:nvSpPr>
        <xdr:cNvPr id="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248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10" name="Rahmen 9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119062</xdr:rowOff>
    </xdr:from>
    <xdr:to>
      <xdr:col>3</xdr:col>
      <xdr:colOff>773906</xdr:colOff>
      <xdr:row>20</xdr:row>
      <xdr:rowOff>47624</xdr:rowOff>
    </xdr:to>
    <xdr:sp macro="" textlink="">
      <xdr:nvSpPr>
        <xdr:cNvPr id="13" name="Rahmen 12"/>
        <xdr:cNvSpPr/>
      </xdr:nvSpPr>
      <xdr:spPr>
        <a:xfrm>
          <a:off x="0" y="3679031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154782</xdr:colOff>
      <xdr:row>0</xdr:row>
      <xdr:rowOff>35719</xdr:rowOff>
    </xdr:from>
    <xdr:to>
      <xdr:col>12</xdr:col>
      <xdr:colOff>23814</xdr:colOff>
      <xdr:row>2</xdr:row>
      <xdr:rowOff>190500</xdr:rowOff>
    </xdr:to>
    <xdr:sp macro="" textlink="">
      <xdr:nvSpPr>
        <xdr:cNvPr id="14" name="Rahmen 13"/>
        <xdr:cNvSpPr/>
      </xdr:nvSpPr>
      <xdr:spPr>
        <a:xfrm>
          <a:off x="4298157" y="35719"/>
          <a:ext cx="5167313" cy="619125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Mischbestückung mit 6 x Flachstrahldüse hinter der Spritze bei Doppelflachstrahldüsen wenn es zum anspritzen</a:t>
          </a:r>
          <a:r>
            <a:rPr lang="de-DE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kommt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146354</xdr:colOff>
      <xdr:row>38</xdr:row>
      <xdr:rowOff>136070</xdr:rowOff>
    </xdr:from>
    <xdr:to>
      <xdr:col>8</xdr:col>
      <xdr:colOff>503465</xdr:colOff>
      <xdr:row>44</xdr:row>
      <xdr:rowOff>171451</xdr:rowOff>
    </xdr:to>
    <xdr:sp macro="" textlink="">
      <xdr:nvSpPr>
        <xdr:cNvPr id="2" name="AutoShape 11"/>
        <xdr:cNvSpPr>
          <a:spLocks noChangeArrowheads="1"/>
        </xdr:cNvSpPr>
      </xdr:nvSpPr>
      <xdr:spPr bwMode="auto">
        <a:xfrm>
          <a:off x="146354" y="7919356"/>
          <a:ext cx="11637432" cy="1178381"/>
        </a:xfrm>
        <a:prstGeom prst="foldedCorner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FFFFCC" mc:Ignorable="a14" a14:legacySpreadsheetColorIndex="26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Wichtige Punkte zur Vermeidung von Schäden bei der AHL-Anwendung:</a:t>
          </a:r>
          <a:endParaRPr lang="de-DE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Immer in trockene Beständen mit guter Wachsschicht applizieren </a:t>
          </a: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/</a:t>
          </a:r>
          <a:r>
            <a:rPr lang="de-DE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Niemals in feuchte Beständen, nach Regen einige Tage warten </a:t>
          </a: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/</a:t>
          </a:r>
          <a:r>
            <a:rPr lang="de-DE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Nicht bei oder vor Frösten von unter -5 °C </a:t>
          </a: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/ </a:t>
          </a:r>
          <a:r>
            <a:rPr lang="de-DE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Nicht bei großer Hitze und Sonneneinstrahlung </a:t>
          </a: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/ </a:t>
          </a:r>
          <a:r>
            <a:rPr lang="de-DE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ab dem Fahnenblatt nur mit Schleppschläuchen (Spätdungung)</a:t>
          </a: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/</a:t>
          </a:r>
          <a:r>
            <a:rPr lang="de-DE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im Mais niemals aufs Blatt applizieren </a:t>
          </a: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/</a:t>
          </a:r>
          <a:r>
            <a:rPr lang="de-DE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Bei Mischungen mit Wasser und PSM höchstens 20 - 25 % AHL </a:t>
          </a: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/</a:t>
          </a:r>
          <a:r>
            <a:rPr lang="de-DE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generell sehr grobe Tropfen und geringer Druck (Mehrloch-, Zungen- oder Injektordüsen) </a:t>
          </a: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/</a:t>
          </a:r>
          <a:r>
            <a:rPr lang="de-DE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Mischbarkeit mit Pflanzenschutzmitteln (PSM) und Kulturverträglichkeit genau prüfen</a:t>
          </a:r>
        </a:p>
      </xdr:txBody>
    </xdr:sp>
    <xdr:clientData/>
  </xdr:twoCellAnchor>
  <xdr:twoCellAnchor>
    <xdr:from>
      <xdr:col>8</xdr:col>
      <xdr:colOff>814755</xdr:colOff>
      <xdr:row>34</xdr:row>
      <xdr:rowOff>27212</xdr:rowOff>
    </xdr:from>
    <xdr:to>
      <xdr:col>12</xdr:col>
      <xdr:colOff>979225</xdr:colOff>
      <xdr:row>45</xdr:row>
      <xdr:rowOff>14183</xdr:rowOff>
    </xdr:to>
    <xdr:grpSp>
      <xdr:nvGrpSpPr>
        <xdr:cNvPr id="3" name="Gruppieren 2"/>
        <xdr:cNvGrpSpPr/>
      </xdr:nvGrpSpPr>
      <xdr:grpSpPr>
        <a:xfrm>
          <a:off x="12095076" y="7048498"/>
          <a:ext cx="4532363" cy="2082471"/>
          <a:chOff x="7334250" y="2656216"/>
          <a:chExt cx="4515015" cy="2077709"/>
        </a:xfrm>
      </xdr:grpSpPr>
      <xdr:grpSp>
        <xdr:nvGrpSpPr>
          <xdr:cNvPr id="4" name="Gruppieren 3"/>
          <xdr:cNvGrpSpPr/>
        </xdr:nvGrpSpPr>
        <xdr:grpSpPr>
          <a:xfrm>
            <a:off x="7334250" y="2656216"/>
            <a:ext cx="4515015" cy="2077709"/>
            <a:chOff x="7127875" y="1791029"/>
            <a:chExt cx="4510253" cy="2074534"/>
          </a:xfrm>
        </xdr:grpSpPr>
        <xdr:grpSp>
          <xdr:nvGrpSpPr>
            <xdr:cNvPr id="6" name="Gruppieren 5"/>
            <xdr:cNvGrpSpPr/>
          </xdr:nvGrpSpPr>
          <xdr:grpSpPr>
            <a:xfrm>
              <a:off x="7127875" y="1809550"/>
              <a:ext cx="4475433" cy="2056013"/>
              <a:chOff x="7267575" y="1817487"/>
              <a:chExt cx="4480195" cy="2059188"/>
            </a:xfrm>
          </xdr:grpSpPr>
          <xdr:pic>
            <xdr:nvPicPr>
              <xdr:cNvPr id="8" name="Picture 3"/>
              <xdr:cNvPicPr preferRelativeResize="0">
                <a:picLocks noChangeAspect="1" noChangeArrowheads="1"/>
              </xdr:cNvPicPr>
            </xdr:nvPicPr>
            <xdr:blipFill>
              <a:blip xmlns:r="http://schemas.openxmlformats.org/officeDocument/2006/relationships" r:embed="rId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7267575" y="1817487"/>
                <a:ext cx="4480195" cy="2059188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000000" mc:Ignorable="a14" a14:legacySpreadsheetColorIndex="64"/>
                    </a:solidFill>
                  </a14:hiddenFill>
                </a:ext>
                <a:ext uri="{91240B29-F687-4F45-9708-019B960494DF}">
                  <a14:hiddenLine xmlns:a14="http://schemas.microsoft.com/office/drawing/2010/main" w="1">
                    <a:solidFill>
                      <a:srgbClr xmlns:mc="http://schemas.openxmlformats.org/markup-compatibility/2006" val="FFFFFF" mc:Ignorable="a14" a14:legacySpreadsheetColorIndex="65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pic>
          <xdr:sp macro="" textlink="">
            <xdr:nvSpPr>
              <xdr:cNvPr id="9" name="Textfeld 8"/>
              <xdr:cNvSpPr txBox="1"/>
            </xdr:nvSpPr>
            <xdr:spPr>
              <a:xfrm>
                <a:off x="7620000" y="2914650"/>
                <a:ext cx="1600200" cy="264560"/>
              </a:xfrm>
              <a:prstGeom prst="rect">
                <a:avLst/>
              </a:prstGeom>
              <a:solidFill>
                <a:srgbClr val="0070C0"/>
              </a:solidFill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ctr"/>
                <a:r>
                  <a:rPr lang="de-DE" sz="1100" b="1">
                    <a:solidFill>
                      <a:schemeClr val="bg1"/>
                    </a:solidFill>
                  </a:rPr>
                  <a:t>Injektordüsen</a:t>
                </a:r>
              </a:p>
            </xdr:txBody>
          </xdr:sp>
          <xdr:sp macro="" textlink="">
            <xdr:nvSpPr>
              <xdr:cNvPr id="10" name="Textfeld 9"/>
              <xdr:cNvSpPr txBox="1"/>
            </xdr:nvSpPr>
            <xdr:spPr>
              <a:xfrm>
                <a:off x="7724775" y="2447925"/>
                <a:ext cx="1000125" cy="264560"/>
              </a:xfrm>
              <a:prstGeom prst="rect">
                <a:avLst/>
              </a:prstGeom>
              <a:solidFill>
                <a:srgbClr val="0070C0"/>
              </a:solidFill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ctr"/>
                <a:r>
                  <a:rPr lang="de-DE" sz="1100" b="1">
                    <a:solidFill>
                      <a:schemeClr val="bg1"/>
                    </a:solidFill>
                  </a:rPr>
                  <a:t>Düngerdüsen</a:t>
                </a:r>
              </a:p>
            </xdr:txBody>
          </xdr:sp>
        </xdr:grpSp>
        <xdr:sp macro="" textlink="">
          <xdr:nvSpPr>
            <xdr:cNvPr id="7" name="Textfeld 6"/>
            <xdr:cNvSpPr txBox="1"/>
          </xdr:nvSpPr>
          <xdr:spPr>
            <a:xfrm rot="16200000">
              <a:off x="10942232" y="2276611"/>
              <a:ext cx="1181477" cy="2103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800">
                  <a:latin typeface="Times New Roman" pitchFamily="18" charset="0"/>
                  <a:cs typeface="Times New Roman" pitchFamily="18" charset="0"/>
                </a:rPr>
                <a:t>verändert  nach  Lechler</a:t>
              </a:r>
            </a:p>
          </xdr:txBody>
        </xdr:sp>
      </xdr:grpSp>
      <xdr:sp macro="" textlink="">
        <xdr:nvSpPr>
          <xdr:cNvPr id="5" name="Textfeld 4"/>
          <xdr:cNvSpPr txBox="1"/>
        </xdr:nvSpPr>
        <xdr:spPr>
          <a:xfrm>
            <a:off x="9277350" y="2723762"/>
            <a:ext cx="1142999" cy="436786"/>
          </a:xfrm>
          <a:prstGeom prst="rect">
            <a:avLst/>
          </a:prstGeom>
          <a:solidFill>
            <a:srgbClr val="0070C0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de-DE" sz="1100" b="1">
                <a:solidFill>
                  <a:schemeClr val="bg1"/>
                </a:solidFill>
              </a:rPr>
              <a:t>Schleppschlauch</a:t>
            </a:r>
            <a:br>
              <a:rPr lang="de-DE" sz="1100" b="1">
                <a:solidFill>
                  <a:schemeClr val="bg1"/>
                </a:solidFill>
              </a:rPr>
            </a:br>
            <a:r>
              <a:rPr lang="de-DE" sz="1100" b="1">
                <a:solidFill>
                  <a:schemeClr val="bg1"/>
                </a:solidFill>
              </a:rPr>
              <a:t>Schlepprohr</a:t>
            </a:r>
          </a:p>
        </xdr:txBody>
      </xdr:sp>
    </xdr:grpSp>
    <xdr:clientData/>
  </xdr:twoCellAnchor>
  <xdr:twoCellAnchor>
    <xdr:from>
      <xdr:col>4</xdr:col>
      <xdr:colOff>638175</xdr:colOff>
      <xdr:row>0</xdr:row>
      <xdr:rowOff>190500</xdr:rowOff>
    </xdr:from>
    <xdr:to>
      <xdr:col>6</xdr:col>
      <xdr:colOff>247650</xdr:colOff>
      <xdr:row>1</xdr:row>
      <xdr:rowOff>485775</xdr:rowOff>
    </xdr:to>
    <xdr:sp macro="" textlink="">
      <xdr:nvSpPr>
        <xdr:cNvPr id="12" name="Rahmen 11">
          <a:hlinkClick xmlns:r="http://schemas.openxmlformats.org/officeDocument/2006/relationships" r:id="rId2"/>
        </xdr:cNvPr>
        <xdr:cNvSpPr/>
      </xdr:nvSpPr>
      <xdr:spPr>
        <a:xfrm>
          <a:off x="7391400" y="190500"/>
          <a:ext cx="1762125" cy="49530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27214</xdr:colOff>
      <xdr:row>16</xdr:row>
      <xdr:rowOff>137771</xdr:rowOff>
    </xdr:from>
    <xdr:to>
      <xdr:col>8</xdr:col>
      <xdr:colOff>721178</xdr:colOff>
      <xdr:row>36</xdr:row>
      <xdr:rowOff>163285</xdr:rowOff>
    </xdr:to>
    <xdr:sp macro="" textlink="">
      <xdr:nvSpPr>
        <xdr:cNvPr id="13" name="Rahmen 12"/>
        <xdr:cNvSpPr/>
      </xdr:nvSpPr>
      <xdr:spPr>
        <a:xfrm>
          <a:off x="27214" y="5852771"/>
          <a:ext cx="11974285" cy="1712800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1) beim jeweiligen Dünger muss ein x gesetzt werden (bei anderen Mischungen muss bei andere ein x gesetzt, der N-Anteil in Prozent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und die entsprechende Dichte eingeben werden)</a:t>
          </a:r>
        </a:p>
        <a:p>
          <a:pPr algn="l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2) dann kann die gewünschte N-Menge (kg/ha), die Fahrgeschwindigkeit (km/h) und der Düsenabstand im Gestänge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(cm) eingegeben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479649</xdr:colOff>
      <xdr:row>0</xdr:row>
      <xdr:rowOff>122465</xdr:rowOff>
    </xdr:from>
    <xdr:to>
      <xdr:col>11</xdr:col>
      <xdr:colOff>938893</xdr:colOff>
      <xdr:row>2</xdr:row>
      <xdr:rowOff>54428</xdr:rowOff>
    </xdr:to>
    <xdr:sp macro="" textlink="">
      <xdr:nvSpPr>
        <xdr:cNvPr id="14" name="Rahmen 13"/>
        <xdr:cNvSpPr/>
      </xdr:nvSpPr>
      <xdr:spPr>
        <a:xfrm>
          <a:off x="9133792" y="122465"/>
          <a:ext cx="6405565" cy="66674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spez. Flüssigdüngerdüsen (Druck wird für ISO Größen berechnet)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85725</xdr:rowOff>
    </xdr:from>
    <xdr:to>
      <xdr:col>2</xdr:col>
      <xdr:colOff>276225</xdr:colOff>
      <xdr:row>3</xdr:row>
      <xdr:rowOff>185057</xdr:rowOff>
    </xdr:to>
    <xdr:sp macro="" textlink="">
      <xdr:nvSpPr>
        <xdr:cNvPr id="3" name="Rahmen 2">
          <a:hlinkClick xmlns:r="http://schemas.openxmlformats.org/officeDocument/2006/relationships" r:id="rId1"/>
        </xdr:cNvPr>
        <xdr:cNvSpPr/>
      </xdr:nvSpPr>
      <xdr:spPr>
        <a:xfrm>
          <a:off x="95250" y="85725"/>
          <a:ext cx="1704975" cy="499382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104775</xdr:colOff>
      <xdr:row>6</xdr:row>
      <xdr:rowOff>9525</xdr:rowOff>
    </xdr:from>
    <xdr:to>
      <xdr:col>3</xdr:col>
      <xdr:colOff>765175</xdr:colOff>
      <xdr:row>13</xdr:row>
      <xdr:rowOff>59531</xdr:rowOff>
    </xdr:to>
    <xdr:grpSp>
      <xdr:nvGrpSpPr>
        <xdr:cNvPr id="2" name="Gruppieren 1"/>
        <xdr:cNvGrpSpPr/>
      </xdr:nvGrpSpPr>
      <xdr:grpSpPr>
        <a:xfrm>
          <a:off x="104775" y="1209675"/>
          <a:ext cx="2946400" cy="1383506"/>
          <a:chOff x="504825" y="2714625"/>
          <a:chExt cx="2946400" cy="1383506"/>
        </a:xfrm>
      </xdr:grpSpPr>
      <xdr:sp macro="" textlink="">
        <xdr:nvSpPr>
          <xdr:cNvPr id="5" name="Abgerundetes Rechteck 4"/>
          <xdr:cNvSpPr/>
        </xdr:nvSpPr>
        <xdr:spPr>
          <a:xfrm>
            <a:off x="504825" y="2714625"/>
            <a:ext cx="2946400" cy="1350963"/>
          </a:xfrm>
          <a:prstGeom prst="roundRect">
            <a:avLst/>
          </a:prstGeom>
          <a:solidFill>
            <a:srgbClr val="339933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600" b="1"/>
              <a:t>Zweistoffdüsen</a:t>
            </a:r>
          </a:p>
        </xdr:txBody>
      </xdr:sp>
      <xdr:pic>
        <xdr:nvPicPr>
          <xdr:cNvPr id="6" name="Grafik 5">
            <a:hlinkClick xmlns:r="http://schemas.openxmlformats.org/officeDocument/2006/relationships" r:id="rId2"/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 l="8655" t="11585" r="10120" b="10519"/>
          <a:stretch/>
        </xdr:blipFill>
        <xdr:spPr>
          <a:xfrm>
            <a:off x="1312067" y="3024811"/>
            <a:ext cx="1119189" cy="1073320"/>
          </a:xfrm>
          <a:prstGeom prst="rect">
            <a:avLst/>
          </a:prstGeom>
        </xdr:spPr>
      </xdr:pic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78581</xdr:rowOff>
    </xdr:to>
    <xdr:sp macro="" textlink="">
      <xdr:nvSpPr>
        <xdr:cNvPr id="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10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78581</xdr:rowOff>
    </xdr:to>
    <xdr:sp macro="" textlink="">
      <xdr:nvSpPr>
        <xdr:cNvPr id="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10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78581</xdr:rowOff>
    </xdr:to>
    <xdr:sp macro="" textlink="">
      <xdr:nvSpPr>
        <xdr:cNvPr id="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10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78581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10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6" name="Rahmen 5">
          <a:hlinkClick xmlns:r="http://schemas.openxmlformats.org/officeDocument/2006/relationships" r:id="rId1"/>
        </xdr:cNvPr>
        <xdr:cNvSpPr/>
      </xdr:nvSpPr>
      <xdr:spPr>
        <a:xfrm>
          <a:off x="0" y="0"/>
          <a:ext cx="141922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34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34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34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58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58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58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8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1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8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1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8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1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34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1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58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1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8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107157</xdr:colOff>
      <xdr:row>4</xdr:row>
      <xdr:rowOff>20409</xdr:rowOff>
    </xdr:from>
    <xdr:to>
      <xdr:col>7</xdr:col>
      <xdr:colOff>54428</xdr:colOff>
      <xdr:row>7</xdr:row>
      <xdr:rowOff>204106</xdr:rowOff>
    </xdr:to>
    <xdr:sp macro="" textlink="">
      <xdr:nvSpPr>
        <xdr:cNvPr id="19" name="Rahmen 18"/>
        <xdr:cNvSpPr/>
      </xdr:nvSpPr>
      <xdr:spPr>
        <a:xfrm>
          <a:off x="2574132" y="953859"/>
          <a:ext cx="5186021" cy="888547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</a:t>
          </a:r>
          <a:b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und der angestrebte DutyCycle eingegeben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95248</xdr:colOff>
      <xdr:row>0</xdr:row>
      <xdr:rowOff>0</xdr:rowOff>
    </xdr:from>
    <xdr:to>
      <xdr:col>7</xdr:col>
      <xdr:colOff>35717</xdr:colOff>
      <xdr:row>3</xdr:row>
      <xdr:rowOff>154781</xdr:rowOff>
    </xdr:to>
    <xdr:sp macro="" textlink="">
      <xdr:nvSpPr>
        <xdr:cNvPr id="20" name="Rahmen 19"/>
        <xdr:cNvSpPr/>
      </xdr:nvSpPr>
      <xdr:spPr>
        <a:xfrm>
          <a:off x="2562223" y="0"/>
          <a:ext cx="5179219" cy="850106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PWM - Fahrgeschwindigkeitsbereich 3 bis 20 km/h</a:t>
          </a:r>
        </a:p>
      </xdr:txBody>
    </xdr:sp>
    <xdr:clientData/>
  </xdr:twoCellAnchor>
  <xdr:twoCellAnchor>
    <xdr:from>
      <xdr:col>0</xdr:col>
      <xdr:colOff>68037</xdr:colOff>
      <xdr:row>23</xdr:row>
      <xdr:rowOff>149679</xdr:rowOff>
    </xdr:from>
    <xdr:to>
      <xdr:col>18</xdr:col>
      <xdr:colOff>1020536</xdr:colOff>
      <xdr:row>30</xdr:row>
      <xdr:rowOff>122464</xdr:rowOff>
    </xdr:to>
    <xdr:sp macro="" textlink="">
      <xdr:nvSpPr>
        <xdr:cNvPr id="35" name="Textfeld 34"/>
        <xdr:cNvSpPr txBox="1"/>
      </xdr:nvSpPr>
      <xdr:spPr>
        <a:xfrm>
          <a:off x="68037" y="4653643"/>
          <a:ext cx="20179392" cy="159203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Eintragungen von Feldspritzgeräten mit z. B. Injektordüsen können nicht direkt auf die Verwendung mit PWM-Systemen angewendet werden. Daher gilt in diesen Fällen folgende Regelung: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Geräte, für die Eintragungen in der Spalte Gerätetyp mit „Feldspritzgeräte mit Düse…“ beginnen und die für den Verwendungsbereich Ackerbau in die Abdriftminderungsklassen 95 %, 90 % oder 75 % des Verzeichnisses eingetragen sind, gelten in Verbindung mit JKI-anerkannten PWM-Systemen als eingetragen in die nächst niedrigere Abdriftminderungsklasse.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Sofern das PWM-System nicht verwendet wird </a:t>
          </a:r>
          <a:r>
            <a:rPr kumimoji="0" lang="de-DE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(ausgeschaltet oder Duty Cycle fest auf 100 % eingestellt)</a:t>
          </a:r>
          <a:r>
            <a:rPr kumimoji="0" lang="de-D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gelten die </a:t>
          </a:r>
          <a:r>
            <a:rPr kumimoji="0" lang="de-DE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Eintragungen der Düse </a:t>
          </a:r>
          <a:r>
            <a:rPr kumimoji="0" lang="de-D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ohne PWM-System.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Achtung!</a:t>
          </a:r>
          <a:r>
            <a:rPr kumimoji="0" lang="de-D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Feldspritzgeräte mit nicht JKI-anerkannten PWM-Systemen sind keiner Abdriftminderungsklasse zuzuordnen.</a:t>
          </a:r>
        </a:p>
      </xdr:txBody>
    </xdr:sp>
    <xdr:clientData/>
  </xdr:twoCellAnchor>
  <xdr:twoCellAnchor editAs="oneCell">
    <xdr:from>
      <xdr:col>7</xdr:col>
      <xdr:colOff>416720</xdr:colOff>
      <xdr:row>0</xdr:row>
      <xdr:rowOff>71438</xdr:rowOff>
    </xdr:from>
    <xdr:to>
      <xdr:col>8</xdr:col>
      <xdr:colOff>683724</xdr:colOff>
      <xdr:row>5</xdr:row>
      <xdr:rowOff>219379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0064" y="71438"/>
          <a:ext cx="1314754" cy="1314754"/>
        </a:xfrm>
        <a:prstGeom prst="rect">
          <a:avLst/>
        </a:prstGeom>
      </xdr:spPr>
    </xdr:pic>
    <xdr:clientData/>
  </xdr:twoCellAnchor>
  <xdr:twoCellAnchor editAs="oneCell">
    <xdr:from>
      <xdr:col>8</xdr:col>
      <xdr:colOff>814546</xdr:colOff>
      <xdr:row>2</xdr:row>
      <xdr:rowOff>115887</xdr:rowOff>
    </xdr:from>
    <xdr:to>
      <xdr:col>10</xdr:col>
      <xdr:colOff>250031</xdr:colOff>
      <xdr:row>8</xdr:row>
      <xdr:rowOff>145113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3" cstate="email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5640" y="568325"/>
          <a:ext cx="1530985" cy="1434163"/>
        </a:xfrm>
        <a:prstGeom prst="rect">
          <a:avLst/>
        </a:prstGeom>
      </xdr:spPr>
    </xdr:pic>
    <xdr:clientData/>
  </xdr:twoCellAnchor>
  <xdr:twoCellAnchor editAs="oneCell">
    <xdr:from>
      <xdr:col>10</xdr:col>
      <xdr:colOff>817557</xdr:colOff>
      <xdr:row>2</xdr:row>
      <xdr:rowOff>796</xdr:rowOff>
    </xdr:from>
    <xdr:to>
      <xdr:col>12</xdr:col>
      <xdr:colOff>23812</xdr:colOff>
      <xdr:row>8</xdr:row>
      <xdr:rowOff>82466</xdr:rowOff>
    </xdr:to>
    <xdr:pic>
      <xdr:nvPicPr>
        <xdr:cNvPr id="38" name="Picture 49">
          <a:extLst>
            <a:ext uri="{FF2B5EF4-FFF2-40B4-BE49-F238E27FC236}">
              <a16:creationId xmlns:a16="http://schemas.microsoft.com/office/drawing/2014/main" id="{EF683D4B-116D-4301-9667-D9400A25D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64151" y="453234"/>
          <a:ext cx="1301755" cy="1486607"/>
        </a:xfrm>
        <a:prstGeom prst="rect">
          <a:avLst/>
        </a:prstGeom>
      </xdr:spPr>
    </xdr:pic>
    <xdr:clientData/>
  </xdr:twoCellAnchor>
  <xdr:twoCellAnchor editAs="oneCell">
    <xdr:from>
      <xdr:col>12</xdr:col>
      <xdr:colOff>923694</xdr:colOff>
      <xdr:row>2</xdr:row>
      <xdr:rowOff>65619</xdr:rowOff>
    </xdr:from>
    <xdr:to>
      <xdr:col>14</xdr:col>
      <xdr:colOff>19789</xdr:colOff>
      <xdr:row>8</xdr:row>
      <xdr:rowOff>78848</xdr:rowOff>
    </xdr:to>
    <xdr:pic>
      <xdr:nvPicPr>
        <xdr:cNvPr id="39" name="Grafik 38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65788" y="518057"/>
          <a:ext cx="1191595" cy="1418166"/>
        </a:xfrm>
        <a:prstGeom prst="rect">
          <a:avLst/>
        </a:prstGeom>
      </xdr:spPr>
    </xdr:pic>
    <xdr:clientData/>
  </xdr:twoCellAnchor>
  <xdr:twoCellAnchor>
    <xdr:from>
      <xdr:col>8</xdr:col>
      <xdr:colOff>631031</xdr:colOff>
      <xdr:row>8</xdr:row>
      <xdr:rowOff>142874</xdr:rowOff>
    </xdr:from>
    <xdr:to>
      <xdr:col>10</xdr:col>
      <xdr:colOff>451115</xdr:colOff>
      <xdr:row>12</xdr:row>
      <xdr:rowOff>116416</xdr:rowOff>
    </xdr:to>
    <xdr:sp macro="" textlink="">
      <xdr:nvSpPr>
        <xdr:cNvPr id="41" name="Rahmen 40">
          <a:hlinkClick xmlns:r="http://schemas.openxmlformats.org/officeDocument/2006/relationships" r:id="rId6"/>
        </xdr:cNvPr>
        <xdr:cNvSpPr/>
      </xdr:nvSpPr>
      <xdr:spPr>
        <a:xfrm>
          <a:off x="9382125" y="2000249"/>
          <a:ext cx="1915584" cy="878417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weiter zu DynaJet Berechnung</a:t>
          </a:r>
        </a:p>
      </xdr:txBody>
    </xdr:sp>
    <xdr:clientData/>
  </xdr:twoCellAnchor>
  <xdr:twoCellAnchor>
    <xdr:from>
      <xdr:col>10</xdr:col>
      <xdr:colOff>678656</xdr:colOff>
      <xdr:row>8</xdr:row>
      <xdr:rowOff>154782</xdr:rowOff>
    </xdr:from>
    <xdr:to>
      <xdr:col>12</xdr:col>
      <xdr:colOff>636323</xdr:colOff>
      <xdr:row>12</xdr:row>
      <xdr:rowOff>128324</xdr:rowOff>
    </xdr:to>
    <xdr:sp macro="" textlink="">
      <xdr:nvSpPr>
        <xdr:cNvPr id="42" name="Rahmen 41">
          <a:hlinkClick xmlns:r="http://schemas.openxmlformats.org/officeDocument/2006/relationships" r:id="rId7"/>
        </xdr:cNvPr>
        <xdr:cNvSpPr/>
      </xdr:nvSpPr>
      <xdr:spPr>
        <a:xfrm>
          <a:off x="11525250" y="2012157"/>
          <a:ext cx="2053167" cy="878417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weiter zu Exact Apply Berechnung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66675</xdr:rowOff>
    </xdr:to>
    <xdr:sp macro="" textlink="">
      <xdr:nvSpPr>
        <xdr:cNvPr id="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058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10" name="Rahmen 9">
          <a:hlinkClick xmlns:r="http://schemas.openxmlformats.org/officeDocument/2006/relationships" r:id="rId1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1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60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1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60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1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60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1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84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1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84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1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9353550" y="284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2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05875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2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05875" y="260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2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05875" y="284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107157</xdr:colOff>
      <xdr:row>4</xdr:row>
      <xdr:rowOff>20409</xdr:rowOff>
    </xdr:from>
    <xdr:to>
      <xdr:col>7</xdr:col>
      <xdr:colOff>54428</xdr:colOff>
      <xdr:row>7</xdr:row>
      <xdr:rowOff>204106</xdr:rowOff>
    </xdr:to>
    <xdr:sp macro="" textlink="">
      <xdr:nvSpPr>
        <xdr:cNvPr id="23" name="Rahmen 22"/>
        <xdr:cNvSpPr/>
      </xdr:nvSpPr>
      <xdr:spPr>
        <a:xfrm>
          <a:off x="2570050" y="972909"/>
          <a:ext cx="5186021" cy="90487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</a:t>
          </a:r>
          <a:b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und der angestrebte DutyCycle eingegeben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95248</xdr:colOff>
      <xdr:row>0</xdr:row>
      <xdr:rowOff>0</xdr:rowOff>
    </xdr:from>
    <xdr:to>
      <xdr:col>7</xdr:col>
      <xdr:colOff>35717</xdr:colOff>
      <xdr:row>3</xdr:row>
      <xdr:rowOff>154781</xdr:rowOff>
    </xdr:to>
    <xdr:sp macro="" textlink="">
      <xdr:nvSpPr>
        <xdr:cNvPr id="24" name="Rahmen 23"/>
        <xdr:cNvSpPr/>
      </xdr:nvSpPr>
      <xdr:spPr>
        <a:xfrm>
          <a:off x="3131342" y="0"/>
          <a:ext cx="3083719" cy="845344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DynaJet PWM System</a:t>
          </a:r>
          <a:b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(Fahrgeschwindigkeit zwischen 3 und 20 km/h)</a:t>
          </a:r>
        </a:p>
      </xdr:txBody>
    </xdr:sp>
    <xdr:clientData/>
  </xdr:twoCellAnchor>
  <xdr:twoCellAnchor>
    <xdr:from>
      <xdr:col>0</xdr:col>
      <xdr:colOff>544285</xdr:colOff>
      <xdr:row>27</xdr:row>
      <xdr:rowOff>40821</xdr:rowOff>
    </xdr:from>
    <xdr:to>
      <xdr:col>13</xdr:col>
      <xdr:colOff>176893</xdr:colOff>
      <xdr:row>28</xdr:row>
      <xdr:rowOff>176893</xdr:rowOff>
    </xdr:to>
    <xdr:sp macro="" textlink="">
      <xdr:nvSpPr>
        <xdr:cNvPr id="25" name="Textfeld 24"/>
        <xdr:cNvSpPr txBox="1"/>
      </xdr:nvSpPr>
      <xdr:spPr>
        <a:xfrm>
          <a:off x="544285" y="6395357"/>
          <a:ext cx="13620751" cy="3673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 b="1">
              <a:latin typeface="Arial" panose="020B0604020202020204" pitchFamily="34" charset="0"/>
              <a:cs typeface="Arial" panose="020B0604020202020204" pitchFamily="34" charset="0"/>
            </a:rPr>
            <a:t>Sofern das PWM-System nicht verwendet wird </a:t>
          </a:r>
          <a:r>
            <a:rPr lang="de-DE" sz="14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(ausgeschaltet oder Duty Cycle fest auf 100 % eingestellt)</a:t>
          </a:r>
          <a:r>
            <a:rPr lang="de-DE" sz="1400" b="1">
              <a:latin typeface="Arial" panose="020B0604020202020204" pitchFamily="34" charset="0"/>
              <a:cs typeface="Arial" panose="020B0604020202020204" pitchFamily="34" charset="0"/>
            </a:rPr>
            <a:t> gelten die </a:t>
          </a:r>
          <a:r>
            <a:rPr lang="de-DE" sz="14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Eintragungen der Düse </a:t>
          </a:r>
          <a:r>
            <a:rPr lang="de-DE" sz="1400" b="1">
              <a:latin typeface="Arial" panose="020B0604020202020204" pitchFamily="34" charset="0"/>
              <a:cs typeface="Arial" panose="020B0604020202020204" pitchFamily="34" charset="0"/>
            </a:rPr>
            <a:t>ohne PWM-System. </a:t>
          </a:r>
        </a:p>
      </xdr:txBody>
    </xdr:sp>
    <xdr:clientData/>
  </xdr:twoCellAnchor>
  <xdr:twoCellAnchor>
    <xdr:from>
      <xdr:col>2</xdr:col>
      <xdr:colOff>517071</xdr:colOff>
      <xdr:row>19</xdr:row>
      <xdr:rowOff>68036</xdr:rowOff>
    </xdr:from>
    <xdr:to>
      <xdr:col>7</xdr:col>
      <xdr:colOff>489857</xdr:colOff>
      <xdr:row>26</xdr:row>
      <xdr:rowOff>190500</xdr:rowOff>
    </xdr:to>
    <xdr:cxnSp macro="">
      <xdr:nvCxnSpPr>
        <xdr:cNvPr id="27" name="Gerade Verbindung mit Pfeil 26"/>
        <xdr:cNvCxnSpPr/>
      </xdr:nvCxnSpPr>
      <xdr:spPr>
        <a:xfrm flipH="1" flipV="1">
          <a:off x="2979964" y="4572000"/>
          <a:ext cx="5211536" cy="1741714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421821</xdr:colOff>
      <xdr:row>19</xdr:row>
      <xdr:rowOff>40822</xdr:rowOff>
    </xdr:from>
    <xdr:to>
      <xdr:col>7</xdr:col>
      <xdr:colOff>476251</xdr:colOff>
      <xdr:row>26</xdr:row>
      <xdr:rowOff>149679</xdr:rowOff>
    </xdr:to>
    <xdr:cxnSp macro="">
      <xdr:nvCxnSpPr>
        <xdr:cNvPr id="28" name="Gerade Verbindung mit Pfeil 27"/>
        <xdr:cNvCxnSpPr/>
      </xdr:nvCxnSpPr>
      <xdr:spPr>
        <a:xfrm flipH="1" flipV="1">
          <a:off x="4980214" y="4544786"/>
          <a:ext cx="3197680" cy="1728107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489857</xdr:colOff>
      <xdr:row>19</xdr:row>
      <xdr:rowOff>40822</xdr:rowOff>
    </xdr:from>
    <xdr:to>
      <xdr:col>7</xdr:col>
      <xdr:colOff>476251</xdr:colOff>
      <xdr:row>26</xdr:row>
      <xdr:rowOff>149680</xdr:rowOff>
    </xdr:to>
    <xdr:cxnSp macro="">
      <xdr:nvCxnSpPr>
        <xdr:cNvPr id="31" name="Gerade Verbindung mit Pfeil 30"/>
        <xdr:cNvCxnSpPr/>
      </xdr:nvCxnSpPr>
      <xdr:spPr>
        <a:xfrm flipH="1" flipV="1">
          <a:off x="7143750" y="4544786"/>
          <a:ext cx="1034144" cy="1728108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476250</xdr:colOff>
      <xdr:row>19</xdr:row>
      <xdr:rowOff>40822</xdr:rowOff>
    </xdr:from>
    <xdr:to>
      <xdr:col>8</xdr:col>
      <xdr:colOff>435428</xdr:colOff>
      <xdr:row>26</xdr:row>
      <xdr:rowOff>136072</xdr:rowOff>
    </xdr:to>
    <xdr:cxnSp macro="">
      <xdr:nvCxnSpPr>
        <xdr:cNvPr id="34" name="Gerade Verbindung mit Pfeil 33"/>
        <xdr:cNvCxnSpPr/>
      </xdr:nvCxnSpPr>
      <xdr:spPr>
        <a:xfrm flipV="1">
          <a:off x="8177893" y="4544786"/>
          <a:ext cx="1006928" cy="1714500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462643</xdr:colOff>
      <xdr:row>19</xdr:row>
      <xdr:rowOff>54430</xdr:rowOff>
    </xdr:from>
    <xdr:to>
      <xdr:col>10</xdr:col>
      <xdr:colOff>544285</xdr:colOff>
      <xdr:row>26</xdr:row>
      <xdr:rowOff>176893</xdr:rowOff>
    </xdr:to>
    <xdr:cxnSp macro="">
      <xdr:nvCxnSpPr>
        <xdr:cNvPr id="35" name="Gerade Verbindung mit Pfeil 34"/>
        <xdr:cNvCxnSpPr/>
      </xdr:nvCxnSpPr>
      <xdr:spPr>
        <a:xfrm flipV="1">
          <a:off x="8164286" y="4558394"/>
          <a:ext cx="3224892" cy="174171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421821</xdr:colOff>
      <xdr:row>19</xdr:row>
      <xdr:rowOff>68037</xdr:rowOff>
    </xdr:from>
    <xdr:to>
      <xdr:col>12</xdr:col>
      <xdr:colOff>544285</xdr:colOff>
      <xdr:row>26</xdr:row>
      <xdr:rowOff>190500</xdr:rowOff>
    </xdr:to>
    <xdr:cxnSp macro="">
      <xdr:nvCxnSpPr>
        <xdr:cNvPr id="36" name="Gerade Verbindung mit Pfeil 35"/>
        <xdr:cNvCxnSpPr/>
      </xdr:nvCxnSpPr>
      <xdr:spPr>
        <a:xfrm flipV="1">
          <a:off x="8123464" y="4572001"/>
          <a:ext cx="5361214" cy="174171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408214</xdr:colOff>
      <xdr:row>19</xdr:row>
      <xdr:rowOff>40823</xdr:rowOff>
    </xdr:from>
    <xdr:to>
      <xdr:col>14</xdr:col>
      <xdr:colOff>476249</xdr:colOff>
      <xdr:row>26</xdr:row>
      <xdr:rowOff>163286</xdr:rowOff>
    </xdr:to>
    <xdr:cxnSp macro="">
      <xdr:nvCxnSpPr>
        <xdr:cNvPr id="37" name="Gerade Verbindung mit Pfeil 36"/>
        <xdr:cNvCxnSpPr/>
      </xdr:nvCxnSpPr>
      <xdr:spPr>
        <a:xfrm flipV="1">
          <a:off x="8109857" y="4544787"/>
          <a:ext cx="7402285" cy="174171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462643</xdr:colOff>
      <xdr:row>19</xdr:row>
      <xdr:rowOff>27216</xdr:rowOff>
    </xdr:from>
    <xdr:to>
      <xdr:col>16</xdr:col>
      <xdr:colOff>489857</xdr:colOff>
      <xdr:row>26</xdr:row>
      <xdr:rowOff>176893</xdr:rowOff>
    </xdr:to>
    <xdr:cxnSp macro="">
      <xdr:nvCxnSpPr>
        <xdr:cNvPr id="38" name="Gerade Verbindung mit Pfeil 37"/>
        <xdr:cNvCxnSpPr/>
      </xdr:nvCxnSpPr>
      <xdr:spPr>
        <a:xfrm flipV="1">
          <a:off x="8164286" y="4531180"/>
          <a:ext cx="9456964" cy="1768927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408214</xdr:colOff>
      <xdr:row>19</xdr:row>
      <xdr:rowOff>27216</xdr:rowOff>
    </xdr:from>
    <xdr:to>
      <xdr:col>18</xdr:col>
      <xdr:colOff>462643</xdr:colOff>
      <xdr:row>26</xdr:row>
      <xdr:rowOff>149679</xdr:rowOff>
    </xdr:to>
    <xdr:cxnSp macro="">
      <xdr:nvCxnSpPr>
        <xdr:cNvPr id="39" name="Gerade Verbindung mit Pfeil 38"/>
        <xdr:cNvCxnSpPr/>
      </xdr:nvCxnSpPr>
      <xdr:spPr>
        <a:xfrm flipV="1">
          <a:off x="8109857" y="4531180"/>
          <a:ext cx="11579679" cy="174171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421821</xdr:colOff>
      <xdr:row>0</xdr:row>
      <xdr:rowOff>81643</xdr:rowOff>
    </xdr:from>
    <xdr:to>
      <xdr:col>9</xdr:col>
      <xdr:colOff>244928</xdr:colOff>
      <xdr:row>7</xdr:row>
      <xdr:rowOff>212681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3464" y="81643"/>
          <a:ext cx="1918607" cy="1804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20</xdr:row>
      <xdr:rowOff>167215</xdr:rowOff>
    </xdr:from>
    <xdr:to>
      <xdr:col>20</xdr:col>
      <xdr:colOff>15498</xdr:colOff>
      <xdr:row>23</xdr:row>
      <xdr:rowOff>62063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95250" y="4872565"/>
          <a:ext cx="12740898" cy="580648"/>
        </a:xfrm>
        <a:prstGeom prst="foldedCorner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</a:r>
        </a:p>
      </xdr:txBody>
    </xdr:sp>
    <xdr:clientData/>
  </xdr:twoCellAnchor>
  <xdr:twoCellAnchor editAs="oneCell">
    <xdr:from>
      <xdr:col>0</xdr:col>
      <xdr:colOff>154782</xdr:colOff>
      <xdr:row>15</xdr:row>
      <xdr:rowOff>124089</xdr:rowOff>
    </xdr:from>
    <xdr:to>
      <xdr:col>5</xdr:col>
      <xdr:colOff>93257</xdr:colOff>
      <xdr:row>20</xdr:row>
      <xdr:rowOff>92840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2" y="3686439"/>
          <a:ext cx="4853375" cy="1111751"/>
        </a:xfrm>
        <a:prstGeom prst="rect">
          <a:avLst/>
        </a:prstGeom>
      </xdr:spPr>
    </xdr:pic>
    <xdr:clientData/>
  </xdr:twoCellAnchor>
  <xdr:twoCellAnchor editAs="oneCell">
    <xdr:from>
      <xdr:col>6</xdr:col>
      <xdr:colOff>55036</xdr:colOff>
      <xdr:row>15</xdr:row>
      <xdr:rowOff>57150</xdr:rowOff>
    </xdr:from>
    <xdr:to>
      <xdr:col>15</xdr:col>
      <xdr:colOff>429892</xdr:colOff>
      <xdr:row>20</xdr:row>
      <xdr:rowOff>118464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7711" y="3619500"/>
          <a:ext cx="4794456" cy="120431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66675</xdr:rowOff>
    </xdr:to>
    <xdr:sp macro="" textlink="">
      <xdr:nvSpPr>
        <xdr:cNvPr id="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10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66675</xdr:rowOff>
    </xdr:to>
    <xdr:sp macro="" textlink="">
      <xdr:nvSpPr>
        <xdr:cNvPr id="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10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66675</xdr:rowOff>
    </xdr:to>
    <xdr:sp macro="" textlink="">
      <xdr:nvSpPr>
        <xdr:cNvPr id="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10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10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6" name="Rahmen 5">
          <a:hlinkClick xmlns:r="http://schemas.openxmlformats.org/officeDocument/2006/relationships" r:id="rId1"/>
        </xdr:cNvPr>
        <xdr:cNvSpPr/>
      </xdr:nvSpPr>
      <xdr:spPr>
        <a:xfrm>
          <a:off x="0" y="0"/>
          <a:ext cx="141922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34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34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34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10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58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11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58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58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8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1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8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1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8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10</xdr:row>
      <xdr:rowOff>0</xdr:rowOff>
    </xdr:from>
    <xdr:ext cx="304800" cy="304800"/>
    <xdr:sp macro="" textlink="">
      <xdr:nvSpPr>
        <xdr:cNvPr id="1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34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11</xdr:row>
      <xdr:rowOff>0</xdr:rowOff>
    </xdr:from>
    <xdr:ext cx="304800" cy="304800"/>
    <xdr:sp macro="" textlink="">
      <xdr:nvSpPr>
        <xdr:cNvPr id="1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58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20</xdr:col>
      <xdr:colOff>0</xdr:colOff>
      <xdr:row>12</xdr:row>
      <xdr:rowOff>0</xdr:rowOff>
    </xdr:from>
    <xdr:ext cx="304800" cy="304800"/>
    <xdr:sp macro="" textlink="">
      <xdr:nvSpPr>
        <xdr:cNvPr id="1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20726400" y="28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107157</xdr:colOff>
      <xdr:row>4</xdr:row>
      <xdr:rowOff>20409</xdr:rowOff>
    </xdr:from>
    <xdr:to>
      <xdr:col>7</xdr:col>
      <xdr:colOff>54428</xdr:colOff>
      <xdr:row>7</xdr:row>
      <xdr:rowOff>204106</xdr:rowOff>
    </xdr:to>
    <xdr:sp macro="" textlink="">
      <xdr:nvSpPr>
        <xdr:cNvPr id="19" name="Rahmen 18"/>
        <xdr:cNvSpPr/>
      </xdr:nvSpPr>
      <xdr:spPr>
        <a:xfrm>
          <a:off x="2574132" y="953859"/>
          <a:ext cx="5186021" cy="888547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</a:t>
          </a:r>
          <a:b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und der angestrebte DutyCycle eingegeben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95248</xdr:colOff>
      <xdr:row>0</xdr:row>
      <xdr:rowOff>0</xdr:rowOff>
    </xdr:from>
    <xdr:to>
      <xdr:col>7</xdr:col>
      <xdr:colOff>35717</xdr:colOff>
      <xdr:row>3</xdr:row>
      <xdr:rowOff>154781</xdr:rowOff>
    </xdr:to>
    <xdr:sp macro="" textlink="">
      <xdr:nvSpPr>
        <xdr:cNvPr id="20" name="Rahmen 19"/>
        <xdr:cNvSpPr/>
      </xdr:nvSpPr>
      <xdr:spPr>
        <a:xfrm>
          <a:off x="2562223" y="0"/>
          <a:ext cx="5179219" cy="850106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Exact Apply PWM System</a:t>
          </a:r>
          <a:b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(Fahrgeschwindigkeit zwischen 3 und 20 km/h)</a:t>
          </a:r>
        </a:p>
      </xdr:txBody>
    </xdr:sp>
    <xdr:clientData/>
  </xdr:twoCellAnchor>
  <xdr:twoCellAnchor editAs="oneCell">
    <xdr:from>
      <xdr:col>7</xdr:col>
      <xdr:colOff>530677</xdr:colOff>
      <xdr:row>0</xdr:row>
      <xdr:rowOff>108858</xdr:rowOff>
    </xdr:from>
    <xdr:to>
      <xdr:col>9</xdr:col>
      <xdr:colOff>136548</xdr:colOff>
      <xdr:row>8</xdr:row>
      <xdr:rowOff>149679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2320" y="108858"/>
          <a:ext cx="1701371" cy="1945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123825</xdr:rowOff>
    </xdr:from>
    <xdr:to>
      <xdr:col>19</xdr:col>
      <xdr:colOff>372685</xdr:colOff>
      <xdr:row>33</xdr:row>
      <xdr:rowOff>128738</xdr:rowOff>
    </xdr:to>
    <xdr:grpSp>
      <xdr:nvGrpSpPr>
        <xdr:cNvPr id="11" name="Gruppieren 10"/>
        <xdr:cNvGrpSpPr/>
      </xdr:nvGrpSpPr>
      <xdr:grpSpPr>
        <a:xfrm>
          <a:off x="0" y="6005513"/>
          <a:ext cx="13231435" cy="1814663"/>
          <a:chOff x="95250" y="3814763"/>
          <a:chExt cx="12790904" cy="1814663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5055921"/>
            <a:ext cx="12790904" cy="573505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881702"/>
            <a:ext cx="4843850" cy="1099844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10567" y="3814763"/>
            <a:ext cx="4827794" cy="1192407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3439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9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95350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10" name="Rahmen 9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2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534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3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534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4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534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534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534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534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18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5347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20</xdr:row>
      <xdr:rowOff>47625</xdr:rowOff>
    </xdr:from>
    <xdr:to>
      <xdr:col>12</xdr:col>
      <xdr:colOff>83344</xdr:colOff>
      <xdr:row>25</xdr:row>
      <xdr:rowOff>-1</xdr:rowOff>
    </xdr:to>
    <xdr:sp macro="" textlink="">
      <xdr:nvSpPr>
        <xdr:cNvPr id="19" name="Rahmen 18"/>
        <xdr:cNvSpPr/>
      </xdr:nvSpPr>
      <xdr:spPr>
        <a:xfrm>
          <a:off x="0" y="4798219"/>
          <a:ext cx="9334500" cy="1083468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(l/ha), die Fahrgeschwindigkeit (km/h), Bandbreite (cm), der Reihenabstand (cm), die Schlaggröße (ha) und die PSM-Menge (l bzw. kg/ha) verändert werden </a:t>
          </a:r>
          <a:b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in den grünen Feldern wird der Anteil berechnet der angesetzt bzw. behandelt werden muss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0</xdr:row>
      <xdr:rowOff>0</xdr:rowOff>
    </xdr:from>
    <xdr:to>
      <xdr:col>6</xdr:col>
      <xdr:colOff>797720</xdr:colOff>
      <xdr:row>3</xdr:row>
      <xdr:rowOff>190500</xdr:rowOff>
    </xdr:to>
    <xdr:sp macro="" textlink="">
      <xdr:nvSpPr>
        <xdr:cNvPr id="20" name="Rahmen 19"/>
        <xdr:cNvSpPr/>
      </xdr:nvSpPr>
      <xdr:spPr>
        <a:xfrm>
          <a:off x="4238625" y="0"/>
          <a:ext cx="2714626" cy="89296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Bandspritzdüsen</a:t>
          </a:r>
        </a:p>
      </xdr:txBody>
    </xdr:sp>
    <xdr:clientData/>
  </xdr:twoCellAnchor>
  <xdr:twoCellAnchor>
    <xdr:from>
      <xdr:col>2</xdr:col>
      <xdr:colOff>95250</xdr:colOff>
      <xdr:row>10</xdr:row>
      <xdr:rowOff>130968</xdr:rowOff>
    </xdr:from>
    <xdr:to>
      <xdr:col>3</xdr:col>
      <xdr:colOff>809625</xdr:colOff>
      <xdr:row>14</xdr:row>
      <xdr:rowOff>119062</xdr:rowOff>
    </xdr:to>
    <xdr:sp macro="" textlink="">
      <xdr:nvSpPr>
        <xdr:cNvPr id="21" name="Horizontales Scrollen 20"/>
        <xdr:cNvSpPr/>
      </xdr:nvSpPr>
      <xdr:spPr>
        <a:xfrm>
          <a:off x="2762250" y="2500312"/>
          <a:ext cx="1357313" cy="940594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l/ha auf die ges. Fläche bezogen</a:t>
          </a:r>
        </a:p>
      </xdr:txBody>
    </xdr:sp>
    <xdr:clientData/>
  </xdr:twoCellAnchor>
  <xdr:twoCellAnchor>
    <xdr:from>
      <xdr:col>3</xdr:col>
      <xdr:colOff>523874</xdr:colOff>
      <xdr:row>15</xdr:row>
      <xdr:rowOff>83342</xdr:rowOff>
    </xdr:from>
    <xdr:to>
      <xdr:col>5</xdr:col>
      <xdr:colOff>285750</xdr:colOff>
      <xdr:row>19</xdr:row>
      <xdr:rowOff>71436</xdr:rowOff>
    </xdr:to>
    <xdr:sp macro="" textlink="">
      <xdr:nvSpPr>
        <xdr:cNvPr id="22" name="Horizontales Scrollen 21"/>
        <xdr:cNvSpPr/>
      </xdr:nvSpPr>
      <xdr:spPr>
        <a:xfrm>
          <a:off x="3833812" y="3643311"/>
          <a:ext cx="1357313" cy="940594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l/kg auf das behandelte Band bezogen</a:t>
          </a:r>
        </a:p>
      </xdr:txBody>
    </xdr:sp>
    <xdr:clientData/>
  </xdr:twoCellAnchor>
  <xdr:twoCellAnchor>
    <xdr:from>
      <xdr:col>5</xdr:col>
      <xdr:colOff>500062</xdr:colOff>
      <xdr:row>12</xdr:row>
      <xdr:rowOff>83344</xdr:rowOff>
    </xdr:from>
    <xdr:to>
      <xdr:col>7</xdr:col>
      <xdr:colOff>52387</xdr:colOff>
      <xdr:row>19</xdr:row>
      <xdr:rowOff>92869</xdr:rowOff>
    </xdr:to>
    <xdr:grpSp>
      <xdr:nvGrpSpPr>
        <xdr:cNvPr id="23" name="Group 329"/>
        <xdr:cNvGrpSpPr>
          <a:grpSpLocks/>
        </xdr:cNvGrpSpPr>
      </xdr:nvGrpSpPr>
      <xdr:grpSpPr bwMode="auto">
        <a:xfrm>
          <a:off x="5405437" y="2928938"/>
          <a:ext cx="2076450" cy="1676400"/>
          <a:chOff x="823" y="40"/>
          <a:chExt cx="201" cy="165"/>
        </a:xfrm>
      </xdr:grpSpPr>
      <xdr:grpSp>
        <xdr:nvGrpSpPr>
          <xdr:cNvPr id="24" name="Group 330"/>
          <xdr:cNvGrpSpPr>
            <a:grpSpLocks noChangeAspect="1"/>
          </xdr:cNvGrpSpPr>
        </xdr:nvGrpSpPr>
        <xdr:grpSpPr bwMode="auto">
          <a:xfrm>
            <a:off x="823" y="40"/>
            <a:ext cx="201" cy="165"/>
            <a:chOff x="1080" y="1414"/>
            <a:chExt cx="2538" cy="2084"/>
          </a:xfrm>
        </xdr:grpSpPr>
        <xdr:grpSp>
          <xdr:nvGrpSpPr>
            <xdr:cNvPr id="26" name="Group 331"/>
            <xdr:cNvGrpSpPr>
              <a:grpSpLocks noChangeAspect="1"/>
            </xdr:cNvGrpSpPr>
          </xdr:nvGrpSpPr>
          <xdr:grpSpPr bwMode="auto">
            <a:xfrm>
              <a:off x="1294" y="3229"/>
              <a:ext cx="185" cy="205"/>
              <a:chOff x="2293" y="3490"/>
              <a:chExt cx="65" cy="72"/>
            </a:xfrm>
          </xdr:grpSpPr>
          <xdr:sp macro="" textlink="">
            <xdr:nvSpPr>
              <xdr:cNvPr id="244" name="Freeform 332"/>
              <xdr:cNvSpPr>
                <a:spLocks noChangeAspect="1"/>
              </xdr:cNvSpPr>
            </xdr:nvSpPr>
            <xdr:spPr bwMode="auto">
              <a:xfrm>
                <a:off x="2332" y="3536"/>
                <a:ext cx="5" cy="6"/>
              </a:xfrm>
              <a:custGeom>
                <a:avLst/>
                <a:gdLst>
                  <a:gd name="T0" fmla="*/ 0 w 39"/>
                  <a:gd name="T1" fmla="*/ 1 h 37"/>
                  <a:gd name="T2" fmla="*/ 0 w 39"/>
                  <a:gd name="T3" fmla="*/ 1 h 37"/>
                  <a:gd name="T4" fmla="*/ 1 w 39"/>
                  <a:gd name="T5" fmla="*/ 0 h 37"/>
                  <a:gd name="T6" fmla="*/ 1 w 39"/>
                  <a:gd name="T7" fmla="*/ 0 h 37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9" h="37">
                    <a:moveTo>
                      <a:pt x="0" y="37"/>
                    </a:moveTo>
                    <a:lnTo>
                      <a:pt x="27" y="26"/>
                    </a:lnTo>
                    <a:lnTo>
                      <a:pt x="38" y="0"/>
                    </a:lnTo>
                    <a:lnTo>
                      <a:pt x="3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5" name="Freeform 333"/>
              <xdr:cNvSpPr>
                <a:spLocks noChangeAspect="1"/>
              </xdr:cNvSpPr>
            </xdr:nvSpPr>
            <xdr:spPr bwMode="auto">
              <a:xfrm>
                <a:off x="2327" y="3530"/>
                <a:ext cx="6" cy="7"/>
              </a:xfrm>
              <a:custGeom>
                <a:avLst/>
                <a:gdLst>
                  <a:gd name="T0" fmla="*/ 0 w 48"/>
                  <a:gd name="T1" fmla="*/ 1 h 49"/>
                  <a:gd name="T2" fmla="*/ 1 w 48"/>
                  <a:gd name="T3" fmla="*/ 1 h 49"/>
                  <a:gd name="T4" fmla="*/ 1 w 48"/>
                  <a:gd name="T5" fmla="*/ 0 h 49"/>
                  <a:gd name="T6" fmla="*/ 1 w 48"/>
                  <a:gd name="T7" fmla="*/ 0 h 49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48" h="49">
                    <a:moveTo>
                      <a:pt x="0" y="49"/>
                    </a:moveTo>
                    <a:lnTo>
                      <a:pt x="34" y="35"/>
                    </a:lnTo>
                    <a:lnTo>
                      <a:pt x="47" y="0"/>
                    </a:lnTo>
                    <a:lnTo>
                      <a:pt x="4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6" name="Freeform 334"/>
              <xdr:cNvSpPr>
                <a:spLocks noChangeAspect="1"/>
              </xdr:cNvSpPr>
            </xdr:nvSpPr>
            <xdr:spPr bwMode="auto">
              <a:xfrm>
                <a:off x="2326" y="3557"/>
                <a:ext cx="1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7" name="Freeform 335"/>
              <xdr:cNvSpPr>
                <a:spLocks noChangeAspect="1"/>
              </xdr:cNvSpPr>
            </xdr:nvSpPr>
            <xdr:spPr bwMode="auto">
              <a:xfrm>
                <a:off x="2332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" name="Freeform 336"/>
              <xdr:cNvSpPr>
                <a:spLocks noChangeAspect="1"/>
              </xdr:cNvSpPr>
            </xdr:nvSpPr>
            <xdr:spPr bwMode="auto">
              <a:xfrm>
                <a:off x="2327" y="3524"/>
                <a:ext cx="0" cy="7"/>
              </a:xfrm>
              <a:custGeom>
                <a:avLst/>
                <a:gdLst>
                  <a:gd name="T0" fmla="*/ 0 w 1"/>
                  <a:gd name="T1" fmla="*/ 1 h 50"/>
                  <a:gd name="T2" fmla="*/ 0 w 1"/>
                  <a:gd name="T3" fmla="*/ 0 h 50"/>
                  <a:gd name="T4" fmla="*/ 1 w 1"/>
                  <a:gd name="T5" fmla="*/ 0 h 5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0">
                    <a:moveTo>
                      <a:pt x="0" y="5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" name="Freeform 337"/>
              <xdr:cNvSpPr>
                <a:spLocks noChangeAspect="1"/>
              </xdr:cNvSpPr>
            </xdr:nvSpPr>
            <xdr:spPr bwMode="auto">
              <a:xfrm>
                <a:off x="2326" y="3513"/>
                <a:ext cx="1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0" name="Freeform 338"/>
              <xdr:cNvSpPr>
                <a:spLocks noChangeAspect="1"/>
              </xdr:cNvSpPr>
            </xdr:nvSpPr>
            <xdr:spPr bwMode="auto">
              <a:xfrm>
                <a:off x="232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1" name="Freeform 339"/>
              <xdr:cNvSpPr>
                <a:spLocks noChangeAspect="1"/>
              </xdr:cNvSpPr>
            </xdr:nvSpPr>
            <xdr:spPr bwMode="auto">
              <a:xfrm>
                <a:off x="2327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2" name="Freeform 340"/>
              <xdr:cNvSpPr>
                <a:spLocks noChangeAspect="1"/>
              </xdr:cNvSpPr>
            </xdr:nvSpPr>
            <xdr:spPr bwMode="auto">
              <a:xfrm>
                <a:off x="2332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3" name="Freeform 341"/>
              <xdr:cNvSpPr>
                <a:spLocks noChangeAspect="1"/>
              </xdr:cNvSpPr>
            </xdr:nvSpPr>
            <xdr:spPr bwMode="auto">
              <a:xfrm>
                <a:off x="2358" y="3510"/>
                <a:ext cx="0" cy="14"/>
              </a:xfrm>
              <a:custGeom>
                <a:avLst/>
                <a:gdLst>
                  <a:gd name="T0" fmla="*/ 0 w 1"/>
                  <a:gd name="T1" fmla="*/ 0 h 97"/>
                  <a:gd name="T2" fmla="*/ 0 w 1"/>
                  <a:gd name="T3" fmla="*/ 2 h 97"/>
                  <a:gd name="T4" fmla="*/ 1 w 1"/>
                  <a:gd name="T5" fmla="*/ 2 h 9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7">
                    <a:moveTo>
                      <a:pt x="0" y="0"/>
                    </a:moveTo>
                    <a:lnTo>
                      <a:pt x="0" y="97"/>
                    </a:lnTo>
                    <a:lnTo>
                      <a:pt x="1" y="9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4" name="Freeform 342"/>
              <xdr:cNvSpPr>
                <a:spLocks noChangeAspect="1"/>
              </xdr:cNvSpPr>
            </xdr:nvSpPr>
            <xdr:spPr bwMode="auto">
              <a:xfrm>
                <a:off x="2348" y="3516"/>
                <a:ext cx="1" cy="8"/>
              </a:xfrm>
              <a:custGeom>
                <a:avLst/>
                <a:gdLst>
                  <a:gd name="T0" fmla="*/ 0 w 1"/>
                  <a:gd name="T1" fmla="*/ 0 h 55"/>
                  <a:gd name="T2" fmla="*/ 0 w 1"/>
                  <a:gd name="T3" fmla="*/ 1 h 55"/>
                  <a:gd name="T4" fmla="*/ 1 w 1"/>
                  <a:gd name="T5" fmla="*/ 1 h 5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5">
                    <a:moveTo>
                      <a:pt x="0" y="0"/>
                    </a:moveTo>
                    <a:lnTo>
                      <a:pt x="0" y="55"/>
                    </a:lnTo>
                    <a:lnTo>
                      <a:pt x="1" y="55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5" name="Freeform 343"/>
              <xdr:cNvSpPr>
                <a:spLocks noChangeAspect="1"/>
              </xdr:cNvSpPr>
            </xdr:nvSpPr>
            <xdr:spPr bwMode="auto">
              <a:xfrm>
                <a:off x="2348" y="3519"/>
                <a:ext cx="7" cy="11"/>
              </a:xfrm>
              <a:custGeom>
                <a:avLst/>
                <a:gdLst>
                  <a:gd name="T0" fmla="*/ 0 w 50"/>
                  <a:gd name="T1" fmla="*/ 2 h 77"/>
                  <a:gd name="T2" fmla="*/ 1 w 50"/>
                  <a:gd name="T3" fmla="*/ 0 h 77"/>
                  <a:gd name="T4" fmla="*/ 1 w 50"/>
                  <a:gd name="T5" fmla="*/ 0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0" h="77">
                    <a:moveTo>
                      <a:pt x="0" y="77"/>
                    </a:moveTo>
                    <a:lnTo>
                      <a:pt x="49" y="0"/>
                    </a:lnTo>
                    <a:lnTo>
                      <a:pt x="5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6" name="Freeform 344"/>
              <xdr:cNvSpPr>
                <a:spLocks noChangeAspect="1"/>
              </xdr:cNvSpPr>
            </xdr:nvSpPr>
            <xdr:spPr bwMode="auto">
              <a:xfrm>
                <a:off x="2347" y="3545"/>
                <a:ext cx="2" cy="2"/>
              </a:xfrm>
              <a:custGeom>
                <a:avLst/>
                <a:gdLst>
                  <a:gd name="T0" fmla="*/ 0 w 8"/>
                  <a:gd name="T1" fmla="*/ 0 h 13"/>
                  <a:gd name="T2" fmla="*/ 1 w 8"/>
                  <a:gd name="T3" fmla="*/ 0 h 13"/>
                  <a:gd name="T4" fmla="*/ 1 w 8"/>
                  <a:gd name="T5" fmla="*/ 0 h 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13">
                    <a:moveTo>
                      <a:pt x="0" y="13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7" name="Freeform 345"/>
              <xdr:cNvSpPr>
                <a:spLocks noChangeAspect="1"/>
              </xdr:cNvSpPr>
            </xdr:nvSpPr>
            <xdr:spPr bwMode="auto">
              <a:xfrm>
                <a:off x="2347" y="3547"/>
                <a:ext cx="1" cy="2"/>
              </a:xfrm>
              <a:custGeom>
                <a:avLst/>
                <a:gdLst>
                  <a:gd name="T0" fmla="*/ 0 w 7"/>
                  <a:gd name="T1" fmla="*/ 0 h 14"/>
                  <a:gd name="T2" fmla="*/ 0 w 7"/>
                  <a:gd name="T3" fmla="*/ 0 h 14"/>
                  <a:gd name="T4" fmla="*/ 0 w 7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14">
                    <a:moveTo>
                      <a:pt x="7" y="1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8" name="Freeform 346"/>
              <xdr:cNvSpPr>
                <a:spLocks noChangeAspect="1"/>
              </xdr:cNvSpPr>
            </xdr:nvSpPr>
            <xdr:spPr bwMode="auto">
              <a:xfrm>
                <a:off x="2347" y="3557"/>
                <a:ext cx="1" cy="3"/>
              </a:xfrm>
              <a:custGeom>
                <a:avLst/>
                <a:gdLst>
                  <a:gd name="T0" fmla="*/ 0 w 7"/>
                  <a:gd name="T1" fmla="*/ 0 h 23"/>
                  <a:gd name="T2" fmla="*/ 0 w 7"/>
                  <a:gd name="T3" fmla="*/ 0 h 23"/>
                  <a:gd name="T4" fmla="*/ 0 w 7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23">
                    <a:moveTo>
                      <a:pt x="7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59" name="Freeform 347"/>
              <xdr:cNvSpPr>
                <a:spLocks noChangeAspect="1"/>
              </xdr:cNvSpPr>
            </xdr:nvSpPr>
            <xdr:spPr bwMode="auto">
              <a:xfrm>
                <a:off x="2337" y="3549"/>
                <a:ext cx="11" cy="0"/>
              </a:xfrm>
              <a:custGeom>
                <a:avLst/>
                <a:gdLst>
                  <a:gd name="T0" fmla="*/ 1 w 91"/>
                  <a:gd name="T1" fmla="*/ 0 w 91"/>
                  <a:gd name="T2" fmla="*/ 0 w 91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1">
                    <a:moveTo>
                      <a:pt x="91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0" name="Freeform 348"/>
              <xdr:cNvSpPr>
                <a:spLocks noChangeAspect="1"/>
              </xdr:cNvSpPr>
            </xdr:nvSpPr>
            <xdr:spPr bwMode="auto">
              <a:xfrm>
                <a:off x="2347" y="3524"/>
                <a:ext cx="1" cy="2"/>
              </a:xfrm>
              <a:custGeom>
                <a:avLst/>
                <a:gdLst>
                  <a:gd name="T0" fmla="*/ 0 w 7"/>
                  <a:gd name="T1" fmla="*/ 0 h 14"/>
                  <a:gd name="T2" fmla="*/ 0 w 7"/>
                  <a:gd name="T3" fmla="*/ 0 h 14"/>
                  <a:gd name="T4" fmla="*/ 0 w 7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14">
                    <a:moveTo>
                      <a:pt x="7" y="0"/>
                    </a:moveTo>
                    <a:lnTo>
                      <a:pt x="0" y="14"/>
                    </a:lnTo>
                    <a:lnTo>
                      <a:pt x="1" y="1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1" name="Freeform 349"/>
              <xdr:cNvSpPr>
                <a:spLocks noChangeAspect="1"/>
              </xdr:cNvSpPr>
            </xdr:nvSpPr>
            <xdr:spPr bwMode="auto">
              <a:xfrm>
                <a:off x="2347" y="3526"/>
                <a:ext cx="2" cy="2"/>
              </a:xfrm>
              <a:custGeom>
                <a:avLst/>
                <a:gdLst>
                  <a:gd name="T0" fmla="*/ 0 w 8"/>
                  <a:gd name="T1" fmla="*/ 0 h 13"/>
                  <a:gd name="T2" fmla="*/ 1 w 8"/>
                  <a:gd name="T3" fmla="*/ 0 h 13"/>
                  <a:gd name="T4" fmla="*/ 1 w 8"/>
                  <a:gd name="T5" fmla="*/ 0 h 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13">
                    <a:moveTo>
                      <a:pt x="0" y="0"/>
                    </a:moveTo>
                    <a:lnTo>
                      <a:pt x="7" y="13"/>
                    </a:lnTo>
                    <a:lnTo>
                      <a:pt x="8" y="1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2" name="Freeform 350"/>
              <xdr:cNvSpPr>
                <a:spLocks noChangeAspect="1"/>
              </xdr:cNvSpPr>
            </xdr:nvSpPr>
            <xdr:spPr bwMode="auto">
              <a:xfrm>
                <a:off x="2337" y="3524"/>
                <a:ext cx="11" cy="0"/>
              </a:xfrm>
              <a:custGeom>
                <a:avLst/>
                <a:gdLst>
                  <a:gd name="T0" fmla="*/ 1 w 91"/>
                  <a:gd name="T1" fmla="*/ 0 w 91"/>
                  <a:gd name="T2" fmla="*/ 0 w 91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1">
                    <a:moveTo>
                      <a:pt x="91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3" name="Freeform 351"/>
              <xdr:cNvSpPr>
                <a:spLocks noChangeAspect="1"/>
              </xdr:cNvSpPr>
            </xdr:nvSpPr>
            <xdr:spPr bwMode="auto">
              <a:xfrm>
                <a:off x="2333" y="3525"/>
                <a:ext cx="0" cy="5"/>
              </a:xfrm>
              <a:custGeom>
                <a:avLst/>
                <a:gdLst>
                  <a:gd name="T0" fmla="*/ 0 w 1"/>
                  <a:gd name="T1" fmla="*/ 1 h 31"/>
                  <a:gd name="T2" fmla="*/ 0 w 1"/>
                  <a:gd name="T3" fmla="*/ 0 h 31"/>
                  <a:gd name="T4" fmla="*/ 1 w 1"/>
                  <a:gd name="T5" fmla="*/ 0 h 3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1">
                    <a:moveTo>
                      <a:pt x="0" y="3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4" name="Freeform 352"/>
              <xdr:cNvSpPr>
                <a:spLocks noChangeAspect="1"/>
              </xdr:cNvSpPr>
            </xdr:nvSpPr>
            <xdr:spPr bwMode="auto">
              <a:xfrm>
                <a:off x="2337" y="3524"/>
                <a:ext cx="0" cy="12"/>
              </a:xfrm>
              <a:custGeom>
                <a:avLst/>
                <a:gdLst>
                  <a:gd name="T0" fmla="*/ 0 w 1"/>
                  <a:gd name="T1" fmla="*/ 2 h 89"/>
                  <a:gd name="T2" fmla="*/ 0 w 1"/>
                  <a:gd name="T3" fmla="*/ 0 h 89"/>
                  <a:gd name="T4" fmla="*/ 1 w 1"/>
                  <a:gd name="T5" fmla="*/ 0 h 8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89">
                    <a:moveTo>
                      <a:pt x="0" y="89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5" name="Freeform 353"/>
              <xdr:cNvSpPr>
                <a:spLocks noChangeAspect="1"/>
              </xdr:cNvSpPr>
            </xdr:nvSpPr>
            <xdr:spPr bwMode="auto">
              <a:xfrm>
                <a:off x="2345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6" name="Freeform 354"/>
              <xdr:cNvSpPr>
                <a:spLocks noChangeAspect="1"/>
              </xdr:cNvSpPr>
            </xdr:nvSpPr>
            <xdr:spPr bwMode="auto">
              <a:xfrm>
                <a:off x="2337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7" name="Freeform 355"/>
              <xdr:cNvSpPr>
                <a:spLocks noChangeAspect="1"/>
              </xdr:cNvSpPr>
            </xdr:nvSpPr>
            <xdr:spPr bwMode="auto">
              <a:xfrm>
                <a:off x="2341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8" name="Freeform 356"/>
              <xdr:cNvSpPr>
                <a:spLocks noChangeAspect="1"/>
              </xdr:cNvSpPr>
            </xdr:nvSpPr>
            <xdr:spPr bwMode="auto">
              <a:xfrm>
                <a:off x="2348" y="3528"/>
                <a:ext cx="1" cy="17"/>
              </a:xfrm>
              <a:custGeom>
                <a:avLst/>
                <a:gdLst>
                  <a:gd name="T0" fmla="*/ 0 w 1"/>
                  <a:gd name="T1" fmla="*/ 0 h 120"/>
                  <a:gd name="T2" fmla="*/ 0 w 1"/>
                  <a:gd name="T3" fmla="*/ 2 h 120"/>
                  <a:gd name="T4" fmla="*/ 1 w 1"/>
                  <a:gd name="T5" fmla="*/ 2 h 12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20">
                    <a:moveTo>
                      <a:pt x="0" y="0"/>
                    </a:moveTo>
                    <a:lnTo>
                      <a:pt x="0" y="120"/>
                    </a:lnTo>
                    <a:lnTo>
                      <a:pt x="1" y="12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69" name="Freeform 357"/>
              <xdr:cNvSpPr>
                <a:spLocks noChangeAspect="1"/>
              </xdr:cNvSpPr>
            </xdr:nvSpPr>
            <xdr:spPr bwMode="auto">
              <a:xfrm>
                <a:off x="2350" y="3530"/>
                <a:ext cx="0" cy="13"/>
              </a:xfrm>
              <a:custGeom>
                <a:avLst/>
                <a:gdLst>
                  <a:gd name="T0" fmla="*/ 0 w 1"/>
                  <a:gd name="T1" fmla="*/ 0 h 90"/>
                  <a:gd name="T2" fmla="*/ 0 w 1"/>
                  <a:gd name="T3" fmla="*/ 2 h 90"/>
                  <a:gd name="T4" fmla="*/ 1 w 1"/>
                  <a:gd name="T5" fmla="*/ 2 h 9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0">
                    <a:moveTo>
                      <a:pt x="0" y="0"/>
                    </a:moveTo>
                    <a:lnTo>
                      <a:pt x="0" y="90"/>
                    </a:lnTo>
                    <a:lnTo>
                      <a:pt x="1" y="9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0" name="Freeform 358"/>
              <xdr:cNvSpPr>
                <a:spLocks noChangeAspect="1"/>
              </xdr:cNvSpPr>
            </xdr:nvSpPr>
            <xdr:spPr bwMode="auto">
              <a:xfrm>
                <a:off x="2356" y="3530"/>
                <a:ext cx="0" cy="12"/>
              </a:xfrm>
              <a:custGeom>
                <a:avLst/>
                <a:gdLst>
                  <a:gd name="T0" fmla="*/ 0 w 1"/>
                  <a:gd name="T1" fmla="*/ 0 h 82"/>
                  <a:gd name="T2" fmla="*/ 0 w 1"/>
                  <a:gd name="T3" fmla="*/ 2 h 82"/>
                  <a:gd name="T4" fmla="*/ 1 w 1"/>
                  <a:gd name="T5" fmla="*/ 2 h 8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82">
                    <a:moveTo>
                      <a:pt x="0" y="0"/>
                    </a:moveTo>
                    <a:lnTo>
                      <a:pt x="0" y="82"/>
                    </a:lnTo>
                    <a:lnTo>
                      <a:pt x="1" y="8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1" name="Freeform 359"/>
              <xdr:cNvSpPr>
                <a:spLocks noChangeAspect="1"/>
              </xdr:cNvSpPr>
            </xdr:nvSpPr>
            <xdr:spPr bwMode="auto">
              <a:xfrm>
                <a:off x="2354" y="3562"/>
                <a:ext cx="4" cy="0"/>
              </a:xfrm>
              <a:custGeom>
                <a:avLst/>
                <a:gdLst>
                  <a:gd name="T0" fmla="*/ 0 w 30"/>
                  <a:gd name="T1" fmla="*/ 1 w 30"/>
                  <a:gd name="T2" fmla="*/ 1 w 3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">
                    <a:moveTo>
                      <a:pt x="0" y="0"/>
                    </a:moveTo>
                    <a:lnTo>
                      <a:pt x="29" y="0"/>
                    </a:lnTo>
                    <a:lnTo>
                      <a:pt x="3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2" name="Freeform 360"/>
              <xdr:cNvSpPr>
                <a:spLocks noChangeAspect="1"/>
              </xdr:cNvSpPr>
            </xdr:nvSpPr>
            <xdr:spPr bwMode="auto">
              <a:xfrm>
                <a:off x="2348" y="3542"/>
                <a:ext cx="7" cy="11"/>
              </a:xfrm>
              <a:custGeom>
                <a:avLst/>
                <a:gdLst>
                  <a:gd name="T0" fmla="*/ 0 w 50"/>
                  <a:gd name="T1" fmla="*/ 0 h 77"/>
                  <a:gd name="T2" fmla="*/ 1 w 50"/>
                  <a:gd name="T3" fmla="*/ 2 h 77"/>
                  <a:gd name="T4" fmla="*/ 1 w 50"/>
                  <a:gd name="T5" fmla="*/ 2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0" h="77">
                    <a:moveTo>
                      <a:pt x="0" y="0"/>
                    </a:moveTo>
                    <a:lnTo>
                      <a:pt x="49" y="77"/>
                    </a:lnTo>
                    <a:lnTo>
                      <a:pt x="50" y="7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3" name="Freeform 361"/>
              <xdr:cNvSpPr>
                <a:spLocks noChangeAspect="1"/>
              </xdr:cNvSpPr>
            </xdr:nvSpPr>
            <xdr:spPr bwMode="auto">
              <a:xfrm>
                <a:off x="2348" y="3549"/>
                <a:ext cx="1" cy="8"/>
              </a:xfrm>
              <a:custGeom>
                <a:avLst/>
                <a:gdLst>
                  <a:gd name="T0" fmla="*/ 0 w 1"/>
                  <a:gd name="T1" fmla="*/ 1 h 55"/>
                  <a:gd name="T2" fmla="*/ 0 w 1"/>
                  <a:gd name="T3" fmla="*/ 0 h 55"/>
                  <a:gd name="T4" fmla="*/ 1 w 1"/>
                  <a:gd name="T5" fmla="*/ 0 h 5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5">
                    <a:moveTo>
                      <a:pt x="0" y="5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4" name="Freeform 362"/>
              <xdr:cNvSpPr>
                <a:spLocks noChangeAspect="1"/>
              </xdr:cNvSpPr>
            </xdr:nvSpPr>
            <xdr:spPr bwMode="auto">
              <a:xfrm>
                <a:off x="2354" y="3553"/>
                <a:ext cx="1" cy="9"/>
              </a:xfrm>
              <a:custGeom>
                <a:avLst/>
                <a:gdLst>
                  <a:gd name="T0" fmla="*/ 0 w 1"/>
                  <a:gd name="T1" fmla="*/ 0 h 63"/>
                  <a:gd name="T2" fmla="*/ 0 w 1"/>
                  <a:gd name="T3" fmla="*/ 1 h 63"/>
                  <a:gd name="T4" fmla="*/ 1 w 1"/>
                  <a:gd name="T5" fmla="*/ 1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0"/>
                    </a:moveTo>
                    <a:lnTo>
                      <a:pt x="0" y="63"/>
                    </a:lnTo>
                    <a:lnTo>
                      <a:pt x="1" y="6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5" name="Freeform 363"/>
              <xdr:cNvSpPr>
                <a:spLocks noChangeAspect="1"/>
              </xdr:cNvSpPr>
            </xdr:nvSpPr>
            <xdr:spPr bwMode="auto">
              <a:xfrm>
                <a:off x="2356" y="3542"/>
                <a:ext cx="2" cy="6"/>
              </a:xfrm>
              <a:custGeom>
                <a:avLst/>
                <a:gdLst>
                  <a:gd name="T0" fmla="*/ 0 w 19"/>
                  <a:gd name="T1" fmla="*/ 1 h 43"/>
                  <a:gd name="T2" fmla="*/ 0 w 19"/>
                  <a:gd name="T3" fmla="*/ 0 h 43"/>
                  <a:gd name="T4" fmla="*/ 0 w 19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43">
                    <a:moveTo>
                      <a:pt x="19" y="4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6" name="Freeform 364"/>
              <xdr:cNvSpPr>
                <a:spLocks noChangeAspect="1"/>
              </xdr:cNvSpPr>
            </xdr:nvSpPr>
            <xdr:spPr bwMode="auto">
              <a:xfrm>
                <a:off x="2358" y="3548"/>
                <a:ext cx="0" cy="14"/>
              </a:xfrm>
              <a:custGeom>
                <a:avLst/>
                <a:gdLst>
                  <a:gd name="T0" fmla="*/ 0 w 1"/>
                  <a:gd name="T1" fmla="*/ 2 h 98"/>
                  <a:gd name="T2" fmla="*/ 0 w 1"/>
                  <a:gd name="T3" fmla="*/ 0 h 98"/>
                  <a:gd name="T4" fmla="*/ 1 w 1"/>
                  <a:gd name="T5" fmla="*/ 0 h 9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8">
                    <a:moveTo>
                      <a:pt x="0" y="9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7" name="Freeform 365"/>
              <xdr:cNvSpPr>
                <a:spLocks noChangeAspect="1"/>
              </xdr:cNvSpPr>
            </xdr:nvSpPr>
            <xdr:spPr bwMode="auto">
              <a:xfrm>
                <a:off x="2356" y="3524"/>
                <a:ext cx="2" cy="6"/>
              </a:xfrm>
              <a:custGeom>
                <a:avLst/>
                <a:gdLst>
                  <a:gd name="T0" fmla="*/ 0 w 19"/>
                  <a:gd name="T1" fmla="*/ 0 h 43"/>
                  <a:gd name="T2" fmla="*/ 0 w 19"/>
                  <a:gd name="T3" fmla="*/ 1 h 43"/>
                  <a:gd name="T4" fmla="*/ 0 w 19"/>
                  <a:gd name="T5" fmla="*/ 1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43">
                    <a:moveTo>
                      <a:pt x="19" y="0"/>
                    </a:moveTo>
                    <a:lnTo>
                      <a:pt x="0" y="43"/>
                    </a:lnTo>
                    <a:lnTo>
                      <a:pt x="1" y="4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8" name="Freeform 366"/>
              <xdr:cNvSpPr>
                <a:spLocks noChangeAspect="1"/>
              </xdr:cNvSpPr>
            </xdr:nvSpPr>
            <xdr:spPr bwMode="auto">
              <a:xfrm>
                <a:off x="2347" y="3513"/>
                <a:ext cx="1" cy="3"/>
              </a:xfrm>
              <a:custGeom>
                <a:avLst/>
                <a:gdLst>
                  <a:gd name="T0" fmla="*/ 0 w 7"/>
                  <a:gd name="T1" fmla="*/ 0 h 23"/>
                  <a:gd name="T2" fmla="*/ 0 w 7"/>
                  <a:gd name="T3" fmla="*/ 0 h 23"/>
                  <a:gd name="T4" fmla="*/ 0 w 7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23">
                    <a:moveTo>
                      <a:pt x="7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9" name="Freeform 367"/>
              <xdr:cNvSpPr>
                <a:spLocks noChangeAspect="1"/>
              </xdr:cNvSpPr>
            </xdr:nvSpPr>
            <xdr:spPr bwMode="auto">
              <a:xfrm>
                <a:off x="2335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0" name="Freeform 368"/>
              <xdr:cNvSpPr>
                <a:spLocks noChangeAspect="1"/>
              </xdr:cNvSpPr>
            </xdr:nvSpPr>
            <xdr:spPr bwMode="auto">
              <a:xfrm>
                <a:off x="2345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1" name="Freeform 369"/>
              <xdr:cNvSpPr>
                <a:spLocks noChangeAspect="1"/>
              </xdr:cNvSpPr>
            </xdr:nvSpPr>
            <xdr:spPr bwMode="auto">
              <a:xfrm>
                <a:off x="2341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2" name="Freeform 370"/>
              <xdr:cNvSpPr>
                <a:spLocks noChangeAspect="1"/>
              </xdr:cNvSpPr>
            </xdr:nvSpPr>
            <xdr:spPr bwMode="auto">
              <a:xfrm>
                <a:off x="2337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3" name="Freeform 371"/>
              <xdr:cNvSpPr>
                <a:spLocks noChangeAspect="1"/>
              </xdr:cNvSpPr>
            </xdr:nvSpPr>
            <xdr:spPr bwMode="auto">
              <a:xfrm>
                <a:off x="2348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4" name="Freeform 372"/>
              <xdr:cNvSpPr>
                <a:spLocks noChangeAspect="1"/>
              </xdr:cNvSpPr>
            </xdr:nvSpPr>
            <xdr:spPr bwMode="auto">
              <a:xfrm>
                <a:off x="2344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5" name="Freeform 373"/>
              <xdr:cNvSpPr>
                <a:spLocks noChangeAspect="1"/>
              </xdr:cNvSpPr>
            </xdr:nvSpPr>
            <xdr:spPr bwMode="auto">
              <a:xfrm>
                <a:off x="2345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6" name="Freeform 374"/>
              <xdr:cNvSpPr>
                <a:spLocks noChangeAspect="1"/>
              </xdr:cNvSpPr>
            </xdr:nvSpPr>
            <xdr:spPr bwMode="auto">
              <a:xfrm>
                <a:off x="233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7" name="Freeform 375"/>
              <xdr:cNvSpPr>
                <a:spLocks noChangeAspect="1"/>
              </xdr:cNvSpPr>
            </xdr:nvSpPr>
            <xdr:spPr bwMode="auto">
              <a:xfrm>
                <a:off x="2336" y="3506"/>
                <a:ext cx="1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8" name="Freeform 376"/>
              <xdr:cNvSpPr>
                <a:spLocks noChangeAspect="1"/>
              </xdr:cNvSpPr>
            </xdr:nvSpPr>
            <xdr:spPr bwMode="auto">
              <a:xfrm>
                <a:off x="2342" y="3490"/>
                <a:ext cx="0" cy="6"/>
              </a:xfrm>
              <a:custGeom>
                <a:avLst/>
                <a:gdLst>
                  <a:gd name="T0" fmla="*/ 0 w 2"/>
                  <a:gd name="T1" fmla="*/ 1 h 41"/>
                  <a:gd name="T2" fmla="*/ 0 w 2"/>
                  <a:gd name="T3" fmla="*/ 0 h 41"/>
                  <a:gd name="T4" fmla="*/ 1 w 2"/>
                  <a:gd name="T5" fmla="*/ 0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41">
                    <a:moveTo>
                      <a:pt x="0" y="41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89" name="Freeform 377"/>
              <xdr:cNvSpPr>
                <a:spLocks noChangeAspect="1"/>
              </xdr:cNvSpPr>
            </xdr:nvSpPr>
            <xdr:spPr bwMode="auto">
              <a:xfrm>
                <a:off x="2344" y="3496"/>
                <a:ext cx="0" cy="3"/>
              </a:xfrm>
              <a:custGeom>
                <a:avLst/>
                <a:gdLst>
                  <a:gd name="T0" fmla="*/ 0 w 2"/>
                  <a:gd name="T1" fmla="*/ 0 h 24"/>
                  <a:gd name="T2" fmla="*/ 0 w 2"/>
                  <a:gd name="T3" fmla="*/ 0 h 24"/>
                  <a:gd name="T4" fmla="*/ 1 w 2"/>
                  <a:gd name="T5" fmla="*/ 0 h 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24">
                    <a:moveTo>
                      <a:pt x="0" y="0"/>
                    </a:moveTo>
                    <a:lnTo>
                      <a:pt x="0" y="24"/>
                    </a:lnTo>
                    <a:lnTo>
                      <a:pt x="2" y="2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0" name="Freeform 378"/>
              <xdr:cNvSpPr>
                <a:spLocks noChangeAspect="1"/>
              </xdr:cNvSpPr>
            </xdr:nvSpPr>
            <xdr:spPr bwMode="auto">
              <a:xfrm>
                <a:off x="2354" y="3510"/>
                <a:ext cx="1" cy="9"/>
              </a:xfrm>
              <a:custGeom>
                <a:avLst/>
                <a:gdLst>
                  <a:gd name="T0" fmla="*/ 0 w 1"/>
                  <a:gd name="T1" fmla="*/ 1 h 62"/>
                  <a:gd name="T2" fmla="*/ 0 w 1"/>
                  <a:gd name="T3" fmla="*/ 0 h 62"/>
                  <a:gd name="T4" fmla="*/ 1 w 1"/>
                  <a:gd name="T5" fmla="*/ 0 h 6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2">
                    <a:moveTo>
                      <a:pt x="0" y="6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1" name="Freeform 379"/>
              <xdr:cNvSpPr>
                <a:spLocks noChangeAspect="1"/>
              </xdr:cNvSpPr>
            </xdr:nvSpPr>
            <xdr:spPr bwMode="auto">
              <a:xfrm>
                <a:off x="2354" y="3510"/>
                <a:ext cx="4" cy="0"/>
              </a:xfrm>
              <a:custGeom>
                <a:avLst/>
                <a:gdLst>
                  <a:gd name="T0" fmla="*/ 0 w 30"/>
                  <a:gd name="T1" fmla="*/ 1 w 30"/>
                  <a:gd name="T2" fmla="*/ 1 w 3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">
                    <a:moveTo>
                      <a:pt x="0" y="0"/>
                    </a:moveTo>
                    <a:lnTo>
                      <a:pt x="29" y="0"/>
                    </a:lnTo>
                    <a:lnTo>
                      <a:pt x="3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2" name="Freeform 380"/>
              <xdr:cNvSpPr>
                <a:spLocks noChangeAspect="1"/>
              </xdr:cNvSpPr>
            </xdr:nvSpPr>
            <xdr:spPr bwMode="auto">
              <a:xfrm>
                <a:off x="2351" y="3490"/>
                <a:ext cx="0" cy="6"/>
              </a:xfrm>
              <a:custGeom>
                <a:avLst/>
                <a:gdLst>
                  <a:gd name="T0" fmla="*/ 0 w 1"/>
                  <a:gd name="T1" fmla="*/ 0 h 41"/>
                  <a:gd name="T2" fmla="*/ 0 w 1"/>
                  <a:gd name="T3" fmla="*/ 1 h 41"/>
                  <a:gd name="T4" fmla="*/ 1 w 1"/>
                  <a:gd name="T5" fmla="*/ 1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0"/>
                    </a:moveTo>
                    <a:lnTo>
                      <a:pt x="0" y="41"/>
                    </a:lnTo>
                    <a:lnTo>
                      <a:pt x="1" y="41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3" name="Freeform 381"/>
              <xdr:cNvSpPr>
                <a:spLocks noChangeAspect="1"/>
              </xdr:cNvSpPr>
            </xdr:nvSpPr>
            <xdr:spPr bwMode="auto">
              <a:xfrm>
                <a:off x="2315" y="3516"/>
                <a:ext cx="2" cy="6"/>
              </a:xfrm>
              <a:custGeom>
                <a:avLst/>
                <a:gdLst>
                  <a:gd name="T0" fmla="*/ 0 w 16"/>
                  <a:gd name="T1" fmla="*/ 1 h 39"/>
                  <a:gd name="T2" fmla="*/ 0 w 16"/>
                  <a:gd name="T3" fmla="*/ 0 h 39"/>
                  <a:gd name="T4" fmla="*/ 0 w 16"/>
                  <a:gd name="T5" fmla="*/ 0 h 3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6" h="39">
                    <a:moveTo>
                      <a:pt x="16" y="39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4" name="Freeform 382"/>
              <xdr:cNvSpPr>
                <a:spLocks noChangeAspect="1"/>
              </xdr:cNvSpPr>
            </xdr:nvSpPr>
            <xdr:spPr bwMode="auto">
              <a:xfrm>
                <a:off x="2319" y="3536"/>
                <a:ext cx="5" cy="1"/>
              </a:xfrm>
              <a:custGeom>
                <a:avLst/>
                <a:gdLst>
                  <a:gd name="T0" fmla="*/ 1 w 38"/>
                  <a:gd name="T1" fmla="*/ 0 h 13"/>
                  <a:gd name="T2" fmla="*/ 1 w 38"/>
                  <a:gd name="T3" fmla="*/ 0 h 13"/>
                  <a:gd name="T4" fmla="*/ 0 w 38"/>
                  <a:gd name="T5" fmla="*/ 0 h 13"/>
                  <a:gd name="T6" fmla="*/ 1 w 38"/>
                  <a:gd name="T7" fmla="*/ 0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8" h="13">
                    <a:moveTo>
                      <a:pt x="38" y="0"/>
                    </a:moveTo>
                    <a:lnTo>
                      <a:pt x="38" y="13"/>
                    </a:lnTo>
                    <a:lnTo>
                      <a:pt x="0" y="7"/>
                    </a:lnTo>
                    <a:lnTo>
                      <a:pt x="38" y="0"/>
                    </a:lnTo>
                    <a:close/>
                  </a:path>
                </a:pathLst>
              </a:custGeom>
              <a:solidFill>
                <a:srgbClr val="00000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95" name="Freeform 383"/>
              <xdr:cNvSpPr>
                <a:spLocks noChangeAspect="1"/>
              </xdr:cNvSpPr>
            </xdr:nvSpPr>
            <xdr:spPr bwMode="auto">
              <a:xfrm>
                <a:off x="2319" y="3536"/>
                <a:ext cx="5" cy="1"/>
              </a:xfrm>
              <a:custGeom>
                <a:avLst/>
                <a:gdLst>
                  <a:gd name="T0" fmla="*/ 1 w 38"/>
                  <a:gd name="T1" fmla="*/ 0 h 13"/>
                  <a:gd name="T2" fmla="*/ 1 w 38"/>
                  <a:gd name="T3" fmla="*/ 0 h 13"/>
                  <a:gd name="T4" fmla="*/ 0 w 38"/>
                  <a:gd name="T5" fmla="*/ 0 h 13"/>
                  <a:gd name="T6" fmla="*/ 1 w 38"/>
                  <a:gd name="T7" fmla="*/ 0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38" h="13">
                    <a:moveTo>
                      <a:pt x="38" y="0"/>
                    </a:moveTo>
                    <a:lnTo>
                      <a:pt x="38" y="13"/>
                    </a:lnTo>
                    <a:lnTo>
                      <a:pt x="0" y="7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6" name="Freeform 384"/>
              <xdr:cNvSpPr>
                <a:spLocks noChangeAspect="1"/>
              </xdr:cNvSpPr>
            </xdr:nvSpPr>
            <xdr:spPr bwMode="auto">
              <a:xfrm>
                <a:off x="2295" y="3523"/>
                <a:ext cx="0" cy="27"/>
              </a:xfrm>
              <a:custGeom>
                <a:avLst/>
                <a:gdLst>
                  <a:gd name="T0" fmla="*/ 0 w 1"/>
                  <a:gd name="T1" fmla="*/ 0 h 192"/>
                  <a:gd name="T2" fmla="*/ 0 w 1"/>
                  <a:gd name="T3" fmla="*/ 4 h 192"/>
                  <a:gd name="T4" fmla="*/ 1 w 1"/>
                  <a:gd name="T5" fmla="*/ 4 h 1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2">
                    <a:moveTo>
                      <a:pt x="0" y="0"/>
                    </a:moveTo>
                    <a:lnTo>
                      <a:pt x="0" y="192"/>
                    </a:lnTo>
                    <a:lnTo>
                      <a:pt x="1" y="19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7" name="Freeform 385"/>
              <xdr:cNvSpPr>
                <a:spLocks noChangeAspect="1"/>
              </xdr:cNvSpPr>
            </xdr:nvSpPr>
            <xdr:spPr bwMode="auto">
              <a:xfrm>
                <a:off x="2295" y="3550"/>
                <a:ext cx="17" cy="0"/>
              </a:xfrm>
              <a:custGeom>
                <a:avLst/>
                <a:gdLst>
                  <a:gd name="T0" fmla="*/ 0 w 137"/>
                  <a:gd name="T1" fmla="*/ 2 w 137"/>
                  <a:gd name="T2" fmla="*/ 2 w 13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37">
                    <a:moveTo>
                      <a:pt x="0" y="0"/>
                    </a:moveTo>
                    <a:lnTo>
                      <a:pt x="136" y="0"/>
                    </a:lnTo>
                    <a:lnTo>
                      <a:pt x="1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8" name="Freeform 386"/>
              <xdr:cNvSpPr>
                <a:spLocks noChangeAspect="1"/>
              </xdr:cNvSpPr>
            </xdr:nvSpPr>
            <xdr:spPr bwMode="auto">
              <a:xfrm>
                <a:off x="2293" y="3546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99" name="Freeform 387"/>
              <xdr:cNvSpPr>
                <a:spLocks noChangeAspect="1"/>
              </xdr:cNvSpPr>
            </xdr:nvSpPr>
            <xdr:spPr bwMode="auto">
              <a:xfrm>
                <a:off x="2312" y="3547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0" name="Freeform 388"/>
              <xdr:cNvSpPr>
                <a:spLocks noChangeAspect="1"/>
              </xdr:cNvSpPr>
            </xdr:nvSpPr>
            <xdr:spPr bwMode="auto">
              <a:xfrm>
                <a:off x="2315" y="3551"/>
                <a:ext cx="2" cy="6"/>
              </a:xfrm>
              <a:custGeom>
                <a:avLst/>
                <a:gdLst>
                  <a:gd name="T0" fmla="*/ 0 w 16"/>
                  <a:gd name="T1" fmla="*/ 0 h 38"/>
                  <a:gd name="T2" fmla="*/ 0 w 16"/>
                  <a:gd name="T3" fmla="*/ 1 h 38"/>
                  <a:gd name="T4" fmla="*/ 0 w 16"/>
                  <a:gd name="T5" fmla="*/ 1 h 3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6" h="38">
                    <a:moveTo>
                      <a:pt x="16" y="0"/>
                    </a:moveTo>
                    <a:lnTo>
                      <a:pt x="0" y="38"/>
                    </a:lnTo>
                    <a:lnTo>
                      <a:pt x="1" y="38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1" name="Freeform 389"/>
              <xdr:cNvSpPr>
                <a:spLocks noChangeAspect="1"/>
              </xdr:cNvSpPr>
            </xdr:nvSpPr>
            <xdr:spPr bwMode="auto">
              <a:xfrm>
                <a:off x="2315" y="3547"/>
                <a:ext cx="2" cy="2"/>
              </a:xfrm>
              <a:custGeom>
                <a:avLst/>
                <a:gdLst>
                  <a:gd name="T0" fmla="*/ 0 w 14"/>
                  <a:gd name="T1" fmla="*/ 0 h 14"/>
                  <a:gd name="T2" fmla="*/ 0 w 14"/>
                  <a:gd name="T3" fmla="*/ 0 h 14"/>
                  <a:gd name="T4" fmla="*/ 0 w 14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4" h="14">
                    <a:moveTo>
                      <a:pt x="0" y="0"/>
                    </a:moveTo>
                    <a:lnTo>
                      <a:pt x="13" y="14"/>
                    </a:lnTo>
                    <a:lnTo>
                      <a:pt x="14" y="1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2" name="Freeform 390"/>
              <xdr:cNvSpPr>
                <a:spLocks noChangeAspect="1"/>
              </xdr:cNvSpPr>
            </xdr:nvSpPr>
            <xdr:spPr bwMode="auto">
              <a:xfrm>
                <a:off x="2317" y="3549"/>
                <a:ext cx="0" cy="2"/>
              </a:xfrm>
              <a:custGeom>
                <a:avLst/>
                <a:gdLst>
                  <a:gd name="T0" fmla="*/ 1 w 2"/>
                  <a:gd name="T1" fmla="*/ 0 h 16"/>
                  <a:gd name="T2" fmla="*/ 0 w 2"/>
                  <a:gd name="T3" fmla="*/ 0 h 16"/>
                  <a:gd name="T4" fmla="*/ 1 w 2"/>
                  <a:gd name="T5" fmla="*/ 0 h 1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16">
                    <a:moveTo>
                      <a:pt x="2" y="0"/>
                    </a:moveTo>
                    <a:lnTo>
                      <a:pt x="0" y="16"/>
                    </a:lnTo>
                    <a:lnTo>
                      <a:pt x="1" y="1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3" name="Freeform 391"/>
              <xdr:cNvSpPr>
                <a:spLocks noChangeAspect="1"/>
              </xdr:cNvSpPr>
            </xdr:nvSpPr>
            <xdr:spPr bwMode="auto">
              <a:xfrm>
                <a:off x="2315" y="3557"/>
                <a:ext cx="1" cy="3"/>
              </a:xfrm>
              <a:custGeom>
                <a:avLst/>
                <a:gdLst>
                  <a:gd name="T0" fmla="*/ 0 w 8"/>
                  <a:gd name="T1" fmla="*/ 0 h 23"/>
                  <a:gd name="T2" fmla="*/ 0 w 8"/>
                  <a:gd name="T3" fmla="*/ 0 h 23"/>
                  <a:gd name="T4" fmla="*/ 0 w 8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23">
                    <a:moveTo>
                      <a:pt x="0" y="0"/>
                    </a:moveTo>
                    <a:lnTo>
                      <a:pt x="7" y="23"/>
                    </a:lnTo>
                    <a:lnTo>
                      <a:pt x="8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4" name="Freeform 392"/>
              <xdr:cNvSpPr>
                <a:spLocks noChangeAspect="1"/>
              </xdr:cNvSpPr>
            </xdr:nvSpPr>
            <xdr:spPr bwMode="auto">
              <a:xfrm>
                <a:off x="2319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5" name="Freeform 393"/>
              <xdr:cNvSpPr>
                <a:spLocks noChangeAspect="1"/>
              </xdr:cNvSpPr>
            </xdr:nvSpPr>
            <xdr:spPr bwMode="auto">
              <a:xfrm>
                <a:off x="2295" y="3523"/>
                <a:ext cx="17" cy="0"/>
              </a:xfrm>
              <a:custGeom>
                <a:avLst/>
                <a:gdLst>
                  <a:gd name="T0" fmla="*/ 0 w 137"/>
                  <a:gd name="T1" fmla="*/ 2 w 137"/>
                  <a:gd name="T2" fmla="*/ 2 w 13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37">
                    <a:moveTo>
                      <a:pt x="0" y="0"/>
                    </a:moveTo>
                    <a:lnTo>
                      <a:pt x="136" y="0"/>
                    </a:lnTo>
                    <a:lnTo>
                      <a:pt x="1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6" name="Freeform 394"/>
              <xdr:cNvSpPr>
                <a:spLocks noChangeAspect="1"/>
              </xdr:cNvSpPr>
            </xdr:nvSpPr>
            <xdr:spPr bwMode="auto">
              <a:xfrm>
                <a:off x="2293" y="3527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7" name="Freeform 395"/>
              <xdr:cNvSpPr>
                <a:spLocks noChangeAspect="1"/>
              </xdr:cNvSpPr>
            </xdr:nvSpPr>
            <xdr:spPr bwMode="auto">
              <a:xfrm>
                <a:off x="2312" y="3523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0"/>
                    </a:moveTo>
                    <a:lnTo>
                      <a:pt x="23" y="22"/>
                    </a:lnTo>
                    <a:lnTo>
                      <a:pt x="24" y="2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8" name="Freeform 396"/>
              <xdr:cNvSpPr>
                <a:spLocks noChangeAspect="1"/>
              </xdr:cNvSpPr>
            </xdr:nvSpPr>
            <xdr:spPr bwMode="auto">
              <a:xfrm>
                <a:off x="2315" y="3524"/>
                <a:ext cx="2" cy="2"/>
              </a:xfrm>
              <a:custGeom>
                <a:avLst/>
                <a:gdLst>
                  <a:gd name="T0" fmla="*/ 0 w 14"/>
                  <a:gd name="T1" fmla="*/ 0 h 14"/>
                  <a:gd name="T2" fmla="*/ 0 w 14"/>
                  <a:gd name="T3" fmla="*/ 0 h 14"/>
                  <a:gd name="T4" fmla="*/ 0 w 14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4" h="14">
                    <a:moveTo>
                      <a:pt x="0" y="14"/>
                    </a:moveTo>
                    <a:lnTo>
                      <a:pt x="13" y="0"/>
                    </a:lnTo>
                    <a:lnTo>
                      <a:pt x="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9" name="Freeform 397"/>
              <xdr:cNvSpPr>
                <a:spLocks noChangeAspect="1"/>
              </xdr:cNvSpPr>
            </xdr:nvSpPr>
            <xdr:spPr bwMode="auto">
              <a:xfrm>
                <a:off x="2317" y="3522"/>
                <a:ext cx="0" cy="2"/>
              </a:xfrm>
              <a:custGeom>
                <a:avLst/>
                <a:gdLst>
                  <a:gd name="T0" fmla="*/ 1 w 2"/>
                  <a:gd name="T1" fmla="*/ 0 h 15"/>
                  <a:gd name="T2" fmla="*/ 0 w 2"/>
                  <a:gd name="T3" fmla="*/ 0 h 15"/>
                  <a:gd name="T4" fmla="*/ 1 w 2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15">
                    <a:moveTo>
                      <a:pt x="2" y="1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0" name="Freeform 398"/>
              <xdr:cNvSpPr>
                <a:spLocks noChangeAspect="1"/>
              </xdr:cNvSpPr>
            </xdr:nvSpPr>
            <xdr:spPr bwMode="auto">
              <a:xfrm>
                <a:off x="2323" y="3557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0"/>
                    </a:moveTo>
                    <a:lnTo>
                      <a:pt x="0" y="23"/>
                    </a:lnTo>
                    <a:lnTo>
                      <a:pt x="1" y="2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1" name="Freeform 399"/>
              <xdr:cNvSpPr>
                <a:spLocks noChangeAspect="1"/>
              </xdr:cNvSpPr>
            </xdr:nvSpPr>
            <xdr:spPr bwMode="auto">
              <a:xfrm>
                <a:off x="2315" y="3513"/>
                <a:ext cx="1" cy="3"/>
              </a:xfrm>
              <a:custGeom>
                <a:avLst/>
                <a:gdLst>
                  <a:gd name="T0" fmla="*/ 0 w 8"/>
                  <a:gd name="T1" fmla="*/ 0 h 23"/>
                  <a:gd name="T2" fmla="*/ 0 w 8"/>
                  <a:gd name="T3" fmla="*/ 0 h 23"/>
                  <a:gd name="T4" fmla="*/ 0 w 8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" h="23">
                    <a:moveTo>
                      <a:pt x="0" y="23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2" name="Freeform 400"/>
              <xdr:cNvSpPr>
                <a:spLocks noChangeAspect="1"/>
              </xdr:cNvSpPr>
            </xdr:nvSpPr>
            <xdr:spPr bwMode="auto">
              <a:xfrm>
                <a:off x="2319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3" name="Freeform 401"/>
              <xdr:cNvSpPr>
                <a:spLocks noChangeAspect="1"/>
              </xdr:cNvSpPr>
            </xdr:nvSpPr>
            <xdr:spPr bwMode="auto">
              <a:xfrm>
                <a:off x="2316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4" name="Freeform 402"/>
              <xdr:cNvSpPr>
                <a:spLocks noChangeAspect="1"/>
              </xdr:cNvSpPr>
            </xdr:nvSpPr>
            <xdr:spPr bwMode="auto">
              <a:xfrm>
                <a:off x="2319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5" name="Freeform 403"/>
              <xdr:cNvSpPr>
                <a:spLocks noChangeAspect="1"/>
              </xdr:cNvSpPr>
            </xdr:nvSpPr>
            <xdr:spPr bwMode="auto">
              <a:xfrm>
                <a:off x="2319" y="3506"/>
                <a:ext cx="0" cy="7"/>
              </a:xfrm>
              <a:custGeom>
                <a:avLst/>
                <a:gdLst>
                  <a:gd name="T0" fmla="*/ 0 w 1"/>
                  <a:gd name="T1" fmla="*/ 1 h 48"/>
                  <a:gd name="T2" fmla="*/ 0 w 1"/>
                  <a:gd name="T3" fmla="*/ 0 h 48"/>
                  <a:gd name="T4" fmla="*/ 1 w 1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8">
                    <a:moveTo>
                      <a:pt x="0" y="48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6" name="Freeform 404"/>
              <xdr:cNvSpPr>
                <a:spLocks noChangeAspect="1"/>
              </xdr:cNvSpPr>
            </xdr:nvSpPr>
            <xdr:spPr bwMode="auto">
              <a:xfrm>
                <a:off x="2313" y="3490"/>
                <a:ext cx="0" cy="6"/>
              </a:xfrm>
              <a:custGeom>
                <a:avLst/>
                <a:gdLst>
                  <a:gd name="T0" fmla="*/ 0 w 1"/>
                  <a:gd name="T1" fmla="*/ 0 h 41"/>
                  <a:gd name="T2" fmla="*/ 0 w 1"/>
                  <a:gd name="T3" fmla="*/ 1 h 41"/>
                  <a:gd name="T4" fmla="*/ 1 w 1"/>
                  <a:gd name="T5" fmla="*/ 1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0"/>
                    </a:moveTo>
                    <a:lnTo>
                      <a:pt x="0" y="41"/>
                    </a:lnTo>
                    <a:lnTo>
                      <a:pt x="1" y="41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7" name="Freeform 405"/>
              <xdr:cNvSpPr>
                <a:spLocks noChangeAspect="1"/>
              </xdr:cNvSpPr>
            </xdr:nvSpPr>
            <xdr:spPr bwMode="auto">
              <a:xfrm>
                <a:off x="2320" y="3496"/>
                <a:ext cx="0" cy="3"/>
              </a:xfrm>
              <a:custGeom>
                <a:avLst/>
                <a:gdLst>
                  <a:gd name="T0" fmla="*/ 0 w 1"/>
                  <a:gd name="T1" fmla="*/ 0 h 24"/>
                  <a:gd name="T2" fmla="*/ 0 w 1"/>
                  <a:gd name="T3" fmla="*/ 0 h 24"/>
                  <a:gd name="T4" fmla="*/ 1 w 1"/>
                  <a:gd name="T5" fmla="*/ 0 h 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4">
                    <a:moveTo>
                      <a:pt x="0" y="0"/>
                    </a:moveTo>
                    <a:lnTo>
                      <a:pt x="0" y="24"/>
                    </a:lnTo>
                    <a:lnTo>
                      <a:pt x="1" y="24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8" name="Freeform 406"/>
              <xdr:cNvSpPr>
                <a:spLocks noChangeAspect="1"/>
              </xdr:cNvSpPr>
            </xdr:nvSpPr>
            <xdr:spPr bwMode="auto">
              <a:xfrm>
                <a:off x="2323" y="3513"/>
                <a:ext cx="0" cy="3"/>
              </a:xfrm>
              <a:custGeom>
                <a:avLst/>
                <a:gdLst>
                  <a:gd name="T0" fmla="*/ 0 w 1"/>
                  <a:gd name="T1" fmla="*/ 0 h 23"/>
                  <a:gd name="T2" fmla="*/ 0 w 1"/>
                  <a:gd name="T3" fmla="*/ 0 h 23"/>
                  <a:gd name="T4" fmla="*/ 1 w 1"/>
                  <a:gd name="T5" fmla="*/ 0 h 2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23">
                    <a:moveTo>
                      <a:pt x="0" y="2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19" name="Freeform 407"/>
              <xdr:cNvSpPr>
                <a:spLocks noChangeAspect="1"/>
              </xdr:cNvSpPr>
            </xdr:nvSpPr>
            <xdr:spPr bwMode="auto">
              <a:xfrm>
                <a:off x="2325" y="3499"/>
                <a:ext cx="0" cy="7"/>
              </a:xfrm>
              <a:custGeom>
                <a:avLst/>
                <a:gdLst>
                  <a:gd name="T0" fmla="*/ 0 w 1"/>
                  <a:gd name="T1" fmla="*/ 1 h 46"/>
                  <a:gd name="T2" fmla="*/ 0 w 1"/>
                  <a:gd name="T3" fmla="*/ 0 h 46"/>
                  <a:gd name="T4" fmla="*/ 1 w 1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6">
                    <a:moveTo>
                      <a:pt x="0" y="4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0" name="Freeform 408"/>
              <xdr:cNvSpPr>
                <a:spLocks noChangeAspect="1"/>
              </xdr:cNvSpPr>
            </xdr:nvSpPr>
            <xdr:spPr bwMode="auto">
              <a:xfrm>
                <a:off x="2321" y="3490"/>
                <a:ext cx="0" cy="6"/>
              </a:xfrm>
              <a:custGeom>
                <a:avLst/>
                <a:gdLst>
                  <a:gd name="T0" fmla="*/ 0 w 1"/>
                  <a:gd name="T1" fmla="*/ 1 h 41"/>
                  <a:gd name="T2" fmla="*/ 0 w 1"/>
                  <a:gd name="T3" fmla="*/ 0 h 41"/>
                  <a:gd name="T4" fmla="*/ 1 w 1"/>
                  <a:gd name="T5" fmla="*/ 0 h 4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1">
                    <a:moveTo>
                      <a:pt x="0" y="4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1" name="Freeform 409"/>
              <xdr:cNvSpPr>
                <a:spLocks noChangeAspect="1"/>
              </xdr:cNvSpPr>
            </xdr:nvSpPr>
            <xdr:spPr bwMode="auto">
              <a:xfrm>
                <a:off x="2315" y="3557"/>
                <a:ext cx="34" cy="0"/>
              </a:xfrm>
              <a:custGeom>
                <a:avLst/>
                <a:gdLst>
                  <a:gd name="T0" fmla="*/ 0 w 267"/>
                  <a:gd name="T1" fmla="*/ 4 w 267"/>
                  <a:gd name="T2" fmla="*/ 4 w 26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7">
                    <a:moveTo>
                      <a:pt x="0" y="0"/>
                    </a:moveTo>
                    <a:lnTo>
                      <a:pt x="266" y="0"/>
                    </a:lnTo>
                    <a:lnTo>
                      <a:pt x="2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2" name="Freeform 410"/>
              <xdr:cNvSpPr>
                <a:spLocks noChangeAspect="1"/>
              </xdr:cNvSpPr>
            </xdr:nvSpPr>
            <xdr:spPr bwMode="auto">
              <a:xfrm>
                <a:off x="2316" y="3560"/>
                <a:ext cx="32" cy="0"/>
              </a:xfrm>
              <a:custGeom>
                <a:avLst/>
                <a:gdLst>
                  <a:gd name="T0" fmla="*/ 0 w 253"/>
                  <a:gd name="T1" fmla="*/ 4 w 253"/>
                  <a:gd name="T2" fmla="*/ 4 w 2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3">
                    <a:moveTo>
                      <a:pt x="0" y="0"/>
                    </a:moveTo>
                    <a:lnTo>
                      <a:pt x="252" y="0"/>
                    </a:lnTo>
                    <a:lnTo>
                      <a:pt x="2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3" name="Freeform 411"/>
              <xdr:cNvSpPr>
                <a:spLocks noChangeAspect="1"/>
              </xdr:cNvSpPr>
            </xdr:nvSpPr>
            <xdr:spPr bwMode="auto">
              <a:xfrm>
                <a:off x="2320" y="3523"/>
                <a:ext cx="24" cy="27"/>
              </a:xfrm>
              <a:custGeom>
                <a:avLst/>
                <a:gdLst>
                  <a:gd name="T0" fmla="*/ 3 w 196"/>
                  <a:gd name="T1" fmla="*/ 2 h 193"/>
                  <a:gd name="T2" fmla="*/ 3 w 196"/>
                  <a:gd name="T3" fmla="*/ 1 h 193"/>
                  <a:gd name="T4" fmla="*/ 2 w 196"/>
                  <a:gd name="T5" fmla="*/ 0 h 193"/>
                  <a:gd name="T6" fmla="*/ 1 w 196"/>
                  <a:gd name="T7" fmla="*/ 0 h 193"/>
                  <a:gd name="T8" fmla="*/ 1 w 196"/>
                  <a:gd name="T9" fmla="*/ 0 h 193"/>
                  <a:gd name="T10" fmla="*/ 0 w 196"/>
                  <a:gd name="T11" fmla="*/ 1 h 193"/>
                  <a:gd name="T12" fmla="*/ 0 w 196"/>
                  <a:gd name="T13" fmla="*/ 2 h 193"/>
                  <a:gd name="T14" fmla="*/ 0 w 196"/>
                  <a:gd name="T15" fmla="*/ 3 h 193"/>
                  <a:gd name="T16" fmla="*/ 1 w 196"/>
                  <a:gd name="T17" fmla="*/ 3 h 193"/>
                  <a:gd name="T18" fmla="*/ 1 w 196"/>
                  <a:gd name="T19" fmla="*/ 4 h 193"/>
                  <a:gd name="T20" fmla="*/ 2 w 196"/>
                  <a:gd name="T21" fmla="*/ 3 h 193"/>
                  <a:gd name="T22" fmla="*/ 3 w 196"/>
                  <a:gd name="T23" fmla="*/ 3 h 193"/>
                  <a:gd name="T24" fmla="*/ 3 w 196"/>
                  <a:gd name="T25" fmla="*/ 2 h 193"/>
                  <a:gd name="T26" fmla="*/ 3 w 196"/>
                  <a:gd name="T27" fmla="*/ 2 h 193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0" t="0" r="r" b="b"/>
                <a:pathLst>
                  <a:path w="196" h="193">
                    <a:moveTo>
                      <a:pt x="194" y="97"/>
                    </a:moveTo>
                    <a:lnTo>
                      <a:pt x="181" y="48"/>
                    </a:lnTo>
                    <a:lnTo>
                      <a:pt x="146" y="13"/>
                    </a:lnTo>
                    <a:lnTo>
                      <a:pt x="97" y="0"/>
                    </a:lnTo>
                    <a:lnTo>
                      <a:pt x="48" y="13"/>
                    </a:lnTo>
                    <a:lnTo>
                      <a:pt x="13" y="48"/>
                    </a:lnTo>
                    <a:lnTo>
                      <a:pt x="0" y="97"/>
                    </a:lnTo>
                    <a:lnTo>
                      <a:pt x="13" y="145"/>
                    </a:lnTo>
                    <a:lnTo>
                      <a:pt x="48" y="180"/>
                    </a:lnTo>
                    <a:lnTo>
                      <a:pt x="97" y="193"/>
                    </a:lnTo>
                    <a:lnTo>
                      <a:pt x="146" y="180"/>
                    </a:lnTo>
                    <a:lnTo>
                      <a:pt x="181" y="145"/>
                    </a:lnTo>
                    <a:lnTo>
                      <a:pt x="194" y="97"/>
                    </a:lnTo>
                    <a:lnTo>
                      <a:pt x="196" y="9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4" name="Freeform 412"/>
              <xdr:cNvSpPr>
                <a:spLocks noChangeAspect="1"/>
              </xdr:cNvSpPr>
            </xdr:nvSpPr>
            <xdr:spPr bwMode="auto">
              <a:xfrm>
                <a:off x="2322" y="3542"/>
                <a:ext cx="2" cy="2"/>
              </a:xfrm>
              <a:custGeom>
                <a:avLst/>
                <a:gdLst>
                  <a:gd name="T0" fmla="*/ 0 w 21"/>
                  <a:gd name="T1" fmla="*/ 0 h 19"/>
                  <a:gd name="T2" fmla="*/ 0 w 21"/>
                  <a:gd name="T3" fmla="*/ 0 h 19"/>
                  <a:gd name="T4" fmla="*/ 0 w 21"/>
                  <a:gd name="T5" fmla="*/ 0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1" h="19">
                    <a:moveTo>
                      <a:pt x="0" y="19"/>
                    </a:moveTo>
                    <a:lnTo>
                      <a:pt x="19" y="0"/>
                    </a:lnTo>
                    <a:lnTo>
                      <a:pt x="2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5" name="Freeform 413"/>
              <xdr:cNvSpPr>
                <a:spLocks noChangeAspect="1"/>
              </xdr:cNvSpPr>
            </xdr:nvSpPr>
            <xdr:spPr bwMode="auto">
              <a:xfrm>
                <a:off x="2337" y="3525"/>
                <a:ext cx="2" cy="3"/>
              </a:xfrm>
              <a:custGeom>
                <a:avLst/>
                <a:gdLst>
                  <a:gd name="T0" fmla="*/ 0 w 19"/>
                  <a:gd name="T1" fmla="*/ 0 h 19"/>
                  <a:gd name="T2" fmla="*/ 0 w 19"/>
                  <a:gd name="T3" fmla="*/ 0 h 19"/>
                  <a:gd name="T4" fmla="*/ 0 w 19"/>
                  <a:gd name="T5" fmla="*/ 0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9" h="19">
                    <a:moveTo>
                      <a:pt x="0" y="19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6" name="Freeform 414"/>
              <xdr:cNvSpPr>
                <a:spLocks noChangeAspect="1"/>
              </xdr:cNvSpPr>
            </xdr:nvSpPr>
            <xdr:spPr bwMode="auto">
              <a:xfrm>
                <a:off x="2322" y="3542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7" name="Freeform 415"/>
              <xdr:cNvSpPr>
                <a:spLocks noChangeAspect="1"/>
              </xdr:cNvSpPr>
            </xdr:nvSpPr>
            <xdr:spPr bwMode="auto">
              <a:xfrm>
                <a:off x="2337" y="3526"/>
                <a:ext cx="3" cy="3"/>
              </a:xfrm>
              <a:custGeom>
                <a:avLst/>
                <a:gdLst>
                  <a:gd name="T0" fmla="*/ 0 w 24"/>
                  <a:gd name="T1" fmla="*/ 0 h 22"/>
                  <a:gd name="T2" fmla="*/ 0 w 24"/>
                  <a:gd name="T3" fmla="*/ 0 h 22"/>
                  <a:gd name="T4" fmla="*/ 0 w 24"/>
                  <a:gd name="T5" fmla="*/ 0 h 2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4" h="22">
                    <a:moveTo>
                      <a:pt x="0" y="22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8" name="Freeform 416"/>
              <xdr:cNvSpPr>
                <a:spLocks noChangeAspect="1"/>
              </xdr:cNvSpPr>
            </xdr:nvSpPr>
            <xdr:spPr bwMode="auto">
              <a:xfrm>
                <a:off x="2323" y="3542"/>
                <a:ext cx="3" cy="4"/>
              </a:xfrm>
              <a:custGeom>
                <a:avLst/>
                <a:gdLst>
                  <a:gd name="T0" fmla="*/ 0 w 29"/>
                  <a:gd name="T1" fmla="*/ 1 h 27"/>
                  <a:gd name="T2" fmla="*/ 0 w 29"/>
                  <a:gd name="T3" fmla="*/ 0 h 27"/>
                  <a:gd name="T4" fmla="*/ 0 w 29"/>
                  <a:gd name="T5" fmla="*/ 0 h 2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9" h="27">
                    <a:moveTo>
                      <a:pt x="0" y="27"/>
                    </a:move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29" name="Freeform 417"/>
              <xdr:cNvSpPr>
                <a:spLocks noChangeAspect="1"/>
              </xdr:cNvSpPr>
            </xdr:nvSpPr>
            <xdr:spPr bwMode="auto">
              <a:xfrm>
                <a:off x="2337" y="3526"/>
                <a:ext cx="3" cy="4"/>
              </a:xfrm>
              <a:custGeom>
                <a:avLst/>
                <a:gdLst>
                  <a:gd name="T0" fmla="*/ 0 w 27"/>
                  <a:gd name="T1" fmla="*/ 1 h 26"/>
                  <a:gd name="T2" fmla="*/ 0 w 27"/>
                  <a:gd name="T3" fmla="*/ 0 h 26"/>
                  <a:gd name="T4" fmla="*/ 0 w 27"/>
                  <a:gd name="T5" fmla="*/ 0 h 2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7" h="26">
                    <a:moveTo>
                      <a:pt x="0" y="26"/>
                    </a:moveTo>
                    <a:lnTo>
                      <a:pt x="26" y="0"/>
                    </a:lnTo>
                    <a:lnTo>
                      <a:pt x="2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0" name="Freeform 418"/>
              <xdr:cNvSpPr>
                <a:spLocks noChangeAspect="1"/>
              </xdr:cNvSpPr>
            </xdr:nvSpPr>
            <xdr:spPr bwMode="auto">
              <a:xfrm>
                <a:off x="2323" y="3542"/>
                <a:ext cx="4" cy="4"/>
              </a:xfrm>
              <a:custGeom>
                <a:avLst/>
                <a:gdLst>
                  <a:gd name="T0" fmla="*/ 0 w 31"/>
                  <a:gd name="T1" fmla="*/ 1 h 30"/>
                  <a:gd name="T2" fmla="*/ 1 w 31"/>
                  <a:gd name="T3" fmla="*/ 0 h 30"/>
                  <a:gd name="T4" fmla="*/ 1 w 31"/>
                  <a:gd name="T5" fmla="*/ 0 h 3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30">
                    <a:moveTo>
                      <a:pt x="0" y="30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1" name="Freeform 419"/>
              <xdr:cNvSpPr>
                <a:spLocks noChangeAspect="1"/>
              </xdr:cNvSpPr>
            </xdr:nvSpPr>
            <xdr:spPr bwMode="auto">
              <a:xfrm>
                <a:off x="2337" y="3527"/>
                <a:ext cx="4" cy="4"/>
              </a:xfrm>
              <a:custGeom>
                <a:avLst/>
                <a:gdLst>
                  <a:gd name="T0" fmla="*/ 0 w 31"/>
                  <a:gd name="T1" fmla="*/ 1 h 30"/>
                  <a:gd name="T2" fmla="*/ 1 w 31"/>
                  <a:gd name="T3" fmla="*/ 0 h 30"/>
                  <a:gd name="T4" fmla="*/ 1 w 31"/>
                  <a:gd name="T5" fmla="*/ 0 h 3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30">
                    <a:moveTo>
                      <a:pt x="0" y="30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2" name="Freeform 420"/>
              <xdr:cNvSpPr>
                <a:spLocks noChangeAspect="1"/>
              </xdr:cNvSpPr>
            </xdr:nvSpPr>
            <xdr:spPr bwMode="auto">
              <a:xfrm>
                <a:off x="2324" y="3542"/>
                <a:ext cx="4" cy="4"/>
              </a:xfrm>
              <a:custGeom>
                <a:avLst/>
                <a:gdLst>
                  <a:gd name="T0" fmla="*/ 0 w 35"/>
                  <a:gd name="T1" fmla="*/ 0 h 33"/>
                  <a:gd name="T2" fmla="*/ 0 w 35"/>
                  <a:gd name="T3" fmla="*/ 0 h 33"/>
                  <a:gd name="T4" fmla="*/ 0 w 35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5" h="33">
                    <a:moveTo>
                      <a:pt x="0" y="33"/>
                    </a:moveTo>
                    <a:lnTo>
                      <a:pt x="34" y="0"/>
                    </a:lnTo>
                    <a:lnTo>
                      <a:pt x="3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3" name="Freeform 421"/>
              <xdr:cNvSpPr>
                <a:spLocks noChangeAspect="1"/>
              </xdr:cNvSpPr>
            </xdr:nvSpPr>
            <xdr:spPr bwMode="auto">
              <a:xfrm>
                <a:off x="2337" y="3527"/>
                <a:ext cx="4" cy="5"/>
              </a:xfrm>
              <a:custGeom>
                <a:avLst/>
                <a:gdLst>
                  <a:gd name="T0" fmla="*/ 0 w 35"/>
                  <a:gd name="T1" fmla="*/ 1 h 33"/>
                  <a:gd name="T2" fmla="*/ 0 w 35"/>
                  <a:gd name="T3" fmla="*/ 0 h 33"/>
                  <a:gd name="T4" fmla="*/ 0 w 35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5" h="33">
                    <a:moveTo>
                      <a:pt x="0" y="33"/>
                    </a:moveTo>
                    <a:lnTo>
                      <a:pt x="34" y="0"/>
                    </a:lnTo>
                    <a:lnTo>
                      <a:pt x="3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4" name="Freeform 422"/>
              <xdr:cNvSpPr>
                <a:spLocks noChangeAspect="1"/>
              </xdr:cNvSpPr>
            </xdr:nvSpPr>
            <xdr:spPr bwMode="auto">
              <a:xfrm>
                <a:off x="2324" y="3542"/>
                <a:ext cx="5" cy="5"/>
              </a:xfrm>
              <a:custGeom>
                <a:avLst/>
                <a:gdLst>
                  <a:gd name="T0" fmla="*/ 0 w 38"/>
                  <a:gd name="T1" fmla="*/ 1 h 36"/>
                  <a:gd name="T2" fmla="*/ 1 w 38"/>
                  <a:gd name="T3" fmla="*/ 0 h 36"/>
                  <a:gd name="T4" fmla="*/ 1 w 38"/>
                  <a:gd name="T5" fmla="*/ 0 h 3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8" h="36">
                    <a:moveTo>
                      <a:pt x="0" y="36"/>
                    </a:moveTo>
                    <a:lnTo>
                      <a:pt x="37" y="0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5" name="Freeform 423"/>
              <xdr:cNvSpPr>
                <a:spLocks noChangeAspect="1"/>
              </xdr:cNvSpPr>
            </xdr:nvSpPr>
            <xdr:spPr bwMode="auto">
              <a:xfrm>
                <a:off x="2337" y="3528"/>
                <a:ext cx="4" cy="5"/>
              </a:xfrm>
              <a:custGeom>
                <a:avLst/>
                <a:gdLst>
                  <a:gd name="T0" fmla="*/ 0 w 38"/>
                  <a:gd name="T1" fmla="*/ 1 h 36"/>
                  <a:gd name="T2" fmla="*/ 0 w 38"/>
                  <a:gd name="T3" fmla="*/ 0 h 36"/>
                  <a:gd name="T4" fmla="*/ 0 w 38"/>
                  <a:gd name="T5" fmla="*/ 0 h 3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8" h="36">
                    <a:moveTo>
                      <a:pt x="0" y="36"/>
                    </a:moveTo>
                    <a:lnTo>
                      <a:pt x="37" y="0"/>
                    </a:lnTo>
                    <a:lnTo>
                      <a:pt x="3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6" name="Freeform 424"/>
              <xdr:cNvSpPr>
                <a:spLocks noChangeAspect="1"/>
              </xdr:cNvSpPr>
            </xdr:nvSpPr>
            <xdr:spPr bwMode="auto">
              <a:xfrm>
                <a:off x="2325" y="3542"/>
                <a:ext cx="5" cy="5"/>
              </a:xfrm>
              <a:custGeom>
                <a:avLst/>
                <a:gdLst>
                  <a:gd name="T0" fmla="*/ 0 w 41"/>
                  <a:gd name="T1" fmla="*/ 1 h 40"/>
                  <a:gd name="T2" fmla="*/ 1 w 41"/>
                  <a:gd name="T3" fmla="*/ 0 h 40"/>
                  <a:gd name="T4" fmla="*/ 1 w 41"/>
                  <a:gd name="T5" fmla="*/ 0 h 4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1" h="40">
                    <a:moveTo>
                      <a:pt x="0" y="40"/>
                    </a:moveTo>
                    <a:lnTo>
                      <a:pt x="40" y="0"/>
                    </a:lnTo>
                    <a:lnTo>
                      <a:pt x="4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7" name="Freeform 425"/>
              <xdr:cNvSpPr>
                <a:spLocks noChangeAspect="1"/>
              </xdr:cNvSpPr>
            </xdr:nvSpPr>
            <xdr:spPr bwMode="auto">
              <a:xfrm>
                <a:off x="2337" y="3528"/>
                <a:ext cx="5" cy="6"/>
              </a:xfrm>
              <a:custGeom>
                <a:avLst/>
                <a:gdLst>
                  <a:gd name="T0" fmla="*/ 0 w 41"/>
                  <a:gd name="T1" fmla="*/ 1 h 38"/>
                  <a:gd name="T2" fmla="*/ 1 w 41"/>
                  <a:gd name="T3" fmla="*/ 0 h 38"/>
                  <a:gd name="T4" fmla="*/ 1 w 41"/>
                  <a:gd name="T5" fmla="*/ 0 h 3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1" h="38">
                    <a:moveTo>
                      <a:pt x="0" y="38"/>
                    </a:moveTo>
                    <a:lnTo>
                      <a:pt x="40" y="0"/>
                    </a:lnTo>
                    <a:lnTo>
                      <a:pt x="4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8" name="Freeform 426"/>
              <xdr:cNvSpPr>
                <a:spLocks noChangeAspect="1"/>
              </xdr:cNvSpPr>
            </xdr:nvSpPr>
            <xdr:spPr bwMode="auto">
              <a:xfrm>
                <a:off x="2325" y="3542"/>
                <a:ext cx="6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39" name="Freeform 427"/>
              <xdr:cNvSpPr>
                <a:spLocks noChangeAspect="1"/>
              </xdr:cNvSpPr>
            </xdr:nvSpPr>
            <xdr:spPr bwMode="auto">
              <a:xfrm>
                <a:off x="2337" y="3529"/>
                <a:ext cx="5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0" name="Freeform 428"/>
              <xdr:cNvSpPr>
                <a:spLocks noChangeAspect="1"/>
              </xdr:cNvSpPr>
            </xdr:nvSpPr>
            <xdr:spPr bwMode="auto">
              <a:xfrm>
                <a:off x="2326" y="3542"/>
                <a:ext cx="5" cy="6"/>
              </a:xfrm>
              <a:custGeom>
                <a:avLst/>
                <a:gdLst>
                  <a:gd name="T0" fmla="*/ 0 w 47"/>
                  <a:gd name="T1" fmla="*/ 1 h 45"/>
                  <a:gd name="T2" fmla="*/ 1 w 47"/>
                  <a:gd name="T3" fmla="*/ 0 h 45"/>
                  <a:gd name="T4" fmla="*/ 1 w 47"/>
                  <a:gd name="T5" fmla="*/ 0 h 4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7" h="45">
                    <a:moveTo>
                      <a:pt x="0" y="45"/>
                    </a:moveTo>
                    <a:lnTo>
                      <a:pt x="46" y="0"/>
                    </a:lnTo>
                    <a:lnTo>
                      <a:pt x="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1" name="Freeform 429"/>
              <xdr:cNvSpPr>
                <a:spLocks noChangeAspect="1"/>
              </xdr:cNvSpPr>
            </xdr:nvSpPr>
            <xdr:spPr bwMode="auto">
              <a:xfrm>
                <a:off x="2337" y="3529"/>
                <a:ext cx="5" cy="7"/>
              </a:xfrm>
              <a:custGeom>
                <a:avLst/>
                <a:gdLst>
                  <a:gd name="T0" fmla="*/ 0 w 47"/>
                  <a:gd name="T1" fmla="*/ 1 h 46"/>
                  <a:gd name="T2" fmla="*/ 1 w 47"/>
                  <a:gd name="T3" fmla="*/ 0 h 46"/>
                  <a:gd name="T4" fmla="*/ 1 w 47"/>
                  <a:gd name="T5" fmla="*/ 0 h 4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7" h="46">
                    <a:moveTo>
                      <a:pt x="0" y="46"/>
                    </a:moveTo>
                    <a:lnTo>
                      <a:pt x="45" y="0"/>
                    </a:lnTo>
                    <a:lnTo>
                      <a:pt x="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2" name="Freeform 430"/>
              <xdr:cNvSpPr>
                <a:spLocks noChangeAspect="1"/>
              </xdr:cNvSpPr>
            </xdr:nvSpPr>
            <xdr:spPr bwMode="auto">
              <a:xfrm>
                <a:off x="2326" y="3542"/>
                <a:ext cx="6" cy="7"/>
              </a:xfrm>
              <a:custGeom>
                <a:avLst/>
                <a:gdLst>
                  <a:gd name="T0" fmla="*/ 0 w 49"/>
                  <a:gd name="T1" fmla="*/ 1 h 48"/>
                  <a:gd name="T2" fmla="*/ 1 w 49"/>
                  <a:gd name="T3" fmla="*/ 0 h 48"/>
                  <a:gd name="T4" fmla="*/ 1 w 49"/>
                  <a:gd name="T5" fmla="*/ 0 h 48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" h="48">
                    <a:moveTo>
                      <a:pt x="0" y="48"/>
                    </a:moveTo>
                    <a:lnTo>
                      <a:pt x="48" y="0"/>
                    </a:lnTo>
                    <a:lnTo>
                      <a:pt x="4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3" name="Freeform 431"/>
              <xdr:cNvSpPr>
                <a:spLocks noChangeAspect="1"/>
              </xdr:cNvSpPr>
            </xdr:nvSpPr>
            <xdr:spPr bwMode="auto">
              <a:xfrm>
                <a:off x="2337" y="3530"/>
                <a:ext cx="6" cy="7"/>
              </a:xfrm>
              <a:custGeom>
                <a:avLst/>
                <a:gdLst>
                  <a:gd name="T0" fmla="*/ 0 w 49"/>
                  <a:gd name="T1" fmla="*/ 1 h 47"/>
                  <a:gd name="T2" fmla="*/ 1 w 49"/>
                  <a:gd name="T3" fmla="*/ 0 h 47"/>
                  <a:gd name="T4" fmla="*/ 1 w 49"/>
                  <a:gd name="T5" fmla="*/ 0 h 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" h="47">
                    <a:moveTo>
                      <a:pt x="0" y="47"/>
                    </a:moveTo>
                    <a:lnTo>
                      <a:pt x="48" y="0"/>
                    </a:lnTo>
                    <a:lnTo>
                      <a:pt x="4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4" name="Freeform 432"/>
              <xdr:cNvSpPr>
                <a:spLocks noChangeAspect="1"/>
              </xdr:cNvSpPr>
            </xdr:nvSpPr>
            <xdr:spPr bwMode="auto">
              <a:xfrm>
                <a:off x="2327" y="3542"/>
                <a:ext cx="7" cy="7"/>
              </a:xfrm>
              <a:custGeom>
                <a:avLst/>
                <a:gdLst>
                  <a:gd name="T0" fmla="*/ 0 w 53"/>
                  <a:gd name="T1" fmla="*/ 1 h 51"/>
                  <a:gd name="T2" fmla="*/ 1 w 53"/>
                  <a:gd name="T3" fmla="*/ 0 h 51"/>
                  <a:gd name="T4" fmla="*/ 1 w 53"/>
                  <a:gd name="T5" fmla="*/ 0 h 5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1">
                    <a:moveTo>
                      <a:pt x="0" y="51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5" name="Freeform 433"/>
              <xdr:cNvSpPr>
                <a:spLocks noChangeAspect="1"/>
              </xdr:cNvSpPr>
            </xdr:nvSpPr>
            <xdr:spPr bwMode="auto">
              <a:xfrm>
                <a:off x="2336" y="3531"/>
                <a:ext cx="7" cy="7"/>
              </a:xfrm>
              <a:custGeom>
                <a:avLst/>
                <a:gdLst>
                  <a:gd name="T0" fmla="*/ 0 w 53"/>
                  <a:gd name="T1" fmla="*/ 1 h 51"/>
                  <a:gd name="T2" fmla="*/ 1 w 53"/>
                  <a:gd name="T3" fmla="*/ 0 h 51"/>
                  <a:gd name="T4" fmla="*/ 1 w 53"/>
                  <a:gd name="T5" fmla="*/ 0 h 5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1">
                    <a:moveTo>
                      <a:pt x="0" y="51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6" name="Freeform 434"/>
              <xdr:cNvSpPr>
                <a:spLocks noChangeAspect="1"/>
              </xdr:cNvSpPr>
            </xdr:nvSpPr>
            <xdr:spPr bwMode="auto">
              <a:xfrm>
                <a:off x="2327" y="3531"/>
                <a:ext cx="16" cy="18"/>
              </a:xfrm>
              <a:custGeom>
                <a:avLst/>
                <a:gdLst>
                  <a:gd name="T0" fmla="*/ 0 w 127"/>
                  <a:gd name="T1" fmla="*/ 3 h 124"/>
                  <a:gd name="T2" fmla="*/ 2 w 127"/>
                  <a:gd name="T3" fmla="*/ 0 h 124"/>
                  <a:gd name="T4" fmla="*/ 2 w 127"/>
                  <a:gd name="T5" fmla="*/ 0 h 12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27" h="124">
                    <a:moveTo>
                      <a:pt x="0" y="124"/>
                    </a:moveTo>
                    <a:lnTo>
                      <a:pt x="126" y="0"/>
                    </a:lnTo>
                    <a:lnTo>
                      <a:pt x="12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7" name="Freeform 435"/>
              <xdr:cNvSpPr>
                <a:spLocks noChangeAspect="1"/>
              </xdr:cNvSpPr>
            </xdr:nvSpPr>
            <xdr:spPr bwMode="auto">
              <a:xfrm>
                <a:off x="2328" y="3532"/>
                <a:ext cx="16" cy="17"/>
              </a:xfrm>
              <a:custGeom>
                <a:avLst/>
                <a:gdLst>
                  <a:gd name="T0" fmla="*/ 0 w 123"/>
                  <a:gd name="T1" fmla="*/ 2 h 119"/>
                  <a:gd name="T2" fmla="*/ 2 w 123"/>
                  <a:gd name="T3" fmla="*/ 0 h 119"/>
                  <a:gd name="T4" fmla="*/ 2 w 123"/>
                  <a:gd name="T5" fmla="*/ 0 h 1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23" h="119">
                    <a:moveTo>
                      <a:pt x="0" y="119"/>
                    </a:moveTo>
                    <a:lnTo>
                      <a:pt x="122" y="0"/>
                    </a:lnTo>
                    <a:lnTo>
                      <a:pt x="12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8" name="Freeform 436"/>
              <xdr:cNvSpPr>
                <a:spLocks noChangeAspect="1"/>
              </xdr:cNvSpPr>
            </xdr:nvSpPr>
            <xdr:spPr bwMode="auto">
              <a:xfrm>
                <a:off x="2329" y="3533"/>
                <a:ext cx="15" cy="17"/>
              </a:xfrm>
              <a:custGeom>
                <a:avLst/>
                <a:gdLst>
                  <a:gd name="T0" fmla="*/ 0 w 119"/>
                  <a:gd name="T1" fmla="*/ 2 h 117"/>
                  <a:gd name="T2" fmla="*/ 2 w 119"/>
                  <a:gd name="T3" fmla="*/ 0 h 117"/>
                  <a:gd name="T4" fmla="*/ 2 w 119"/>
                  <a:gd name="T5" fmla="*/ 0 h 1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9" h="117">
                    <a:moveTo>
                      <a:pt x="0" y="117"/>
                    </a:moveTo>
                    <a:lnTo>
                      <a:pt x="118" y="0"/>
                    </a:lnTo>
                    <a:lnTo>
                      <a:pt x="1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9" name="Freeform 437"/>
              <xdr:cNvSpPr>
                <a:spLocks noChangeAspect="1"/>
              </xdr:cNvSpPr>
            </xdr:nvSpPr>
            <xdr:spPr bwMode="auto">
              <a:xfrm>
                <a:off x="2329" y="3534"/>
                <a:ext cx="15" cy="16"/>
              </a:xfrm>
              <a:custGeom>
                <a:avLst/>
                <a:gdLst>
                  <a:gd name="T0" fmla="*/ 0 w 114"/>
                  <a:gd name="T1" fmla="*/ 2 h 113"/>
                  <a:gd name="T2" fmla="*/ 2 w 114"/>
                  <a:gd name="T3" fmla="*/ 0 h 113"/>
                  <a:gd name="T4" fmla="*/ 2 w 114"/>
                  <a:gd name="T5" fmla="*/ 0 h 11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4" h="113">
                    <a:moveTo>
                      <a:pt x="0" y="113"/>
                    </a:moveTo>
                    <a:lnTo>
                      <a:pt x="113" y="0"/>
                    </a:lnTo>
                    <a:lnTo>
                      <a:pt x="1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0" name="Freeform 438"/>
              <xdr:cNvSpPr>
                <a:spLocks noChangeAspect="1"/>
              </xdr:cNvSpPr>
            </xdr:nvSpPr>
            <xdr:spPr bwMode="auto">
              <a:xfrm>
                <a:off x="2330" y="3535"/>
                <a:ext cx="14" cy="15"/>
              </a:xfrm>
              <a:custGeom>
                <a:avLst/>
                <a:gdLst>
                  <a:gd name="T0" fmla="*/ 0 w 109"/>
                  <a:gd name="T1" fmla="*/ 2 h 107"/>
                  <a:gd name="T2" fmla="*/ 2 w 109"/>
                  <a:gd name="T3" fmla="*/ 0 h 107"/>
                  <a:gd name="T4" fmla="*/ 2 w 109"/>
                  <a:gd name="T5" fmla="*/ 0 h 10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09" h="107">
                    <a:moveTo>
                      <a:pt x="0" y="107"/>
                    </a:moveTo>
                    <a:lnTo>
                      <a:pt x="108" y="0"/>
                    </a:lnTo>
                    <a:lnTo>
                      <a:pt x="10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1" name="Freeform 439"/>
              <xdr:cNvSpPr>
                <a:spLocks noChangeAspect="1"/>
              </xdr:cNvSpPr>
            </xdr:nvSpPr>
            <xdr:spPr bwMode="auto">
              <a:xfrm>
                <a:off x="2331" y="3536"/>
                <a:ext cx="13" cy="14"/>
              </a:xfrm>
              <a:custGeom>
                <a:avLst/>
                <a:gdLst>
                  <a:gd name="T0" fmla="*/ 0 w 104"/>
                  <a:gd name="T1" fmla="*/ 2 h 101"/>
                  <a:gd name="T2" fmla="*/ 2 w 104"/>
                  <a:gd name="T3" fmla="*/ 0 h 101"/>
                  <a:gd name="T4" fmla="*/ 2 w 104"/>
                  <a:gd name="T5" fmla="*/ 0 h 10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04" h="101">
                    <a:moveTo>
                      <a:pt x="0" y="101"/>
                    </a:moveTo>
                    <a:lnTo>
                      <a:pt x="102" y="0"/>
                    </a:lnTo>
                    <a:lnTo>
                      <a:pt x="10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2" name="Freeform 440"/>
              <xdr:cNvSpPr>
                <a:spLocks noChangeAspect="1"/>
              </xdr:cNvSpPr>
            </xdr:nvSpPr>
            <xdr:spPr bwMode="auto">
              <a:xfrm>
                <a:off x="2332" y="3537"/>
                <a:ext cx="12" cy="13"/>
              </a:xfrm>
              <a:custGeom>
                <a:avLst/>
                <a:gdLst>
                  <a:gd name="T0" fmla="*/ 0 w 97"/>
                  <a:gd name="T1" fmla="*/ 2 h 95"/>
                  <a:gd name="T2" fmla="*/ 1 w 97"/>
                  <a:gd name="T3" fmla="*/ 0 h 95"/>
                  <a:gd name="T4" fmla="*/ 1 w 97"/>
                  <a:gd name="T5" fmla="*/ 0 h 9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97" h="95">
                    <a:moveTo>
                      <a:pt x="0" y="95"/>
                    </a:moveTo>
                    <a:lnTo>
                      <a:pt x="95" y="0"/>
                    </a:lnTo>
                    <a:lnTo>
                      <a:pt x="9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3" name="Freeform 441"/>
              <xdr:cNvSpPr>
                <a:spLocks noChangeAspect="1"/>
              </xdr:cNvSpPr>
            </xdr:nvSpPr>
            <xdr:spPr bwMode="auto">
              <a:xfrm>
                <a:off x="2333" y="3538"/>
                <a:ext cx="11" cy="12"/>
              </a:xfrm>
              <a:custGeom>
                <a:avLst/>
                <a:gdLst>
                  <a:gd name="T0" fmla="*/ 0 w 88"/>
                  <a:gd name="T1" fmla="*/ 2 h 87"/>
                  <a:gd name="T2" fmla="*/ 1 w 88"/>
                  <a:gd name="T3" fmla="*/ 0 h 87"/>
                  <a:gd name="T4" fmla="*/ 1 w 88"/>
                  <a:gd name="T5" fmla="*/ 0 h 8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88" h="87">
                    <a:moveTo>
                      <a:pt x="0" y="87"/>
                    </a:moveTo>
                    <a:lnTo>
                      <a:pt x="87" y="0"/>
                    </a:lnTo>
                    <a:lnTo>
                      <a:pt x="8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4" name="Freeform 442"/>
              <xdr:cNvSpPr>
                <a:spLocks noChangeAspect="1"/>
              </xdr:cNvSpPr>
            </xdr:nvSpPr>
            <xdr:spPr bwMode="auto">
              <a:xfrm>
                <a:off x="2334" y="3539"/>
                <a:ext cx="10" cy="11"/>
              </a:xfrm>
              <a:custGeom>
                <a:avLst/>
                <a:gdLst>
                  <a:gd name="T0" fmla="*/ 0 w 79"/>
                  <a:gd name="T1" fmla="*/ 2 h 77"/>
                  <a:gd name="T2" fmla="*/ 1 w 79"/>
                  <a:gd name="T3" fmla="*/ 0 h 77"/>
                  <a:gd name="T4" fmla="*/ 1 w 79"/>
                  <a:gd name="T5" fmla="*/ 0 h 7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9" h="77">
                    <a:moveTo>
                      <a:pt x="0" y="77"/>
                    </a:moveTo>
                    <a:lnTo>
                      <a:pt x="78" y="0"/>
                    </a:lnTo>
                    <a:lnTo>
                      <a:pt x="7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5" name="Freeform 443"/>
              <xdr:cNvSpPr>
                <a:spLocks noChangeAspect="1"/>
              </xdr:cNvSpPr>
            </xdr:nvSpPr>
            <xdr:spPr bwMode="auto">
              <a:xfrm>
                <a:off x="2335" y="3540"/>
                <a:ext cx="9" cy="10"/>
              </a:xfrm>
              <a:custGeom>
                <a:avLst/>
                <a:gdLst>
                  <a:gd name="T0" fmla="*/ 0 w 67"/>
                  <a:gd name="T1" fmla="*/ 1 h 67"/>
                  <a:gd name="T2" fmla="*/ 1 w 67"/>
                  <a:gd name="T3" fmla="*/ 0 h 67"/>
                  <a:gd name="T4" fmla="*/ 1 w 67"/>
                  <a:gd name="T5" fmla="*/ 0 h 6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67" h="67">
                    <a:moveTo>
                      <a:pt x="0" y="67"/>
                    </a:moveTo>
                    <a:lnTo>
                      <a:pt x="66" y="0"/>
                    </a:lnTo>
                    <a:lnTo>
                      <a:pt x="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6" name="Freeform 444"/>
              <xdr:cNvSpPr>
                <a:spLocks noChangeAspect="1"/>
              </xdr:cNvSpPr>
            </xdr:nvSpPr>
            <xdr:spPr bwMode="auto">
              <a:xfrm>
                <a:off x="2336" y="3542"/>
                <a:ext cx="7" cy="7"/>
              </a:xfrm>
              <a:custGeom>
                <a:avLst/>
                <a:gdLst>
                  <a:gd name="T0" fmla="*/ 0 w 53"/>
                  <a:gd name="T1" fmla="*/ 1 h 52"/>
                  <a:gd name="T2" fmla="*/ 1 w 53"/>
                  <a:gd name="T3" fmla="*/ 0 h 52"/>
                  <a:gd name="T4" fmla="*/ 1 w 53"/>
                  <a:gd name="T5" fmla="*/ 0 h 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3" h="52">
                    <a:moveTo>
                      <a:pt x="0" y="52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7" name="Freeform 445"/>
              <xdr:cNvSpPr>
                <a:spLocks noChangeAspect="1"/>
              </xdr:cNvSpPr>
            </xdr:nvSpPr>
            <xdr:spPr bwMode="auto">
              <a:xfrm>
                <a:off x="2338" y="3544"/>
                <a:ext cx="4" cy="4"/>
              </a:xfrm>
              <a:custGeom>
                <a:avLst/>
                <a:gdLst>
                  <a:gd name="T0" fmla="*/ 0 w 31"/>
                  <a:gd name="T1" fmla="*/ 1 h 29"/>
                  <a:gd name="T2" fmla="*/ 1 w 31"/>
                  <a:gd name="T3" fmla="*/ 0 h 29"/>
                  <a:gd name="T4" fmla="*/ 1 w 31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29">
                    <a:moveTo>
                      <a:pt x="0" y="29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8" name="Freeform 446"/>
              <xdr:cNvSpPr>
                <a:spLocks noChangeAspect="1"/>
              </xdr:cNvSpPr>
            </xdr:nvSpPr>
            <xdr:spPr bwMode="auto">
              <a:xfrm>
                <a:off x="2322" y="3542"/>
                <a:ext cx="1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9" name="Freeform 447"/>
              <xdr:cNvSpPr>
                <a:spLocks noChangeAspect="1"/>
              </xdr:cNvSpPr>
            </xdr:nvSpPr>
            <xdr:spPr bwMode="auto">
              <a:xfrm>
                <a:off x="2337" y="3525"/>
                <a:ext cx="2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0" name="Freeform 448"/>
              <xdr:cNvSpPr>
                <a:spLocks noChangeAspect="1"/>
              </xdr:cNvSpPr>
            </xdr:nvSpPr>
            <xdr:spPr bwMode="auto">
              <a:xfrm>
                <a:off x="2321" y="3542"/>
                <a:ext cx="2" cy="1"/>
              </a:xfrm>
              <a:custGeom>
                <a:avLst/>
                <a:gdLst>
                  <a:gd name="T0" fmla="*/ 0 w 11"/>
                  <a:gd name="T1" fmla="*/ 0 h 11"/>
                  <a:gd name="T2" fmla="*/ 0 w 11"/>
                  <a:gd name="T3" fmla="*/ 0 h 11"/>
                  <a:gd name="T4" fmla="*/ 0 w 1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1">
                    <a:moveTo>
                      <a:pt x="0" y="11"/>
                    </a:moveTo>
                    <a:lnTo>
                      <a:pt x="10" y="0"/>
                    </a:lnTo>
                    <a:lnTo>
                      <a:pt x="1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1" name="Freeform 449"/>
              <xdr:cNvSpPr>
                <a:spLocks noChangeAspect="1"/>
              </xdr:cNvSpPr>
            </xdr:nvSpPr>
            <xdr:spPr bwMode="auto">
              <a:xfrm>
                <a:off x="2337" y="3524"/>
                <a:ext cx="1" cy="2"/>
              </a:xfrm>
              <a:custGeom>
                <a:avLst/>
                <a:gdLst>
                  <a:gd name="T0" fmla="*/ 0 w 11"/>
                  <a:gd name="T1" fmla="*/ 0 h 10"/>
                  <a:gd name="T2" fmla="*/ 0 w 11"/>
                  <a:gd name="T3" fmla="*/ 0 h 10"/>
                  <a:gd name="T4" fmla="*/ 0 w 11"/>
                  <a:gd name="T5" fmla="*/ 0 h 10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0">
                    <a:moveTo>
                      <a:pt x="0" y="10"/>
                    </a:moveTo>
                    <a:lnTo>
                      <a:pt x="10" y="0"/>
                    </a:lnTo>
                    <a:lnTo>
                      <a:pt x="1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2" name="Freeform 450"/>
              <xdr:cNvSpPr>
                <a:spLocks noChangeAspect="1"/>
              </xdr:cNvSpPr>
            </xdr:nvSpPr>
            <xdr:spPr bwMode="auto">
              <a:xfrm>
                <a:off x="2321" y="3542"/>
                <a:ext cx="1" cy="1"/>
              </a:xfrm>
              <a:custGeom>
                <a:avLst/>
                <a:gdLst>
                  <a:gd name="T0" fmla="*/ 0 w 7"/>
                  <a:gd name="T1" fmla="*/ 0 h 6"/>
                  <a:gd name="T2" fmla="*/ 0 w 7"/>
                  <a:gd name="T3" fmla="*/ 0 h 6"/>
                  <a:gd name="T4" fmla="*/ 0 w 7"/>
                  <a:gd name="T5" fmla="*/ 0 h 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7" h="6">
                    <a:moveTo>
                      <a:pt x="0" y="6"/>
                    </a:moveTo>
                    <a:lnTo>
                      <a:pt x="6" y="0"/>
                    </a:lnTo>
                    <a:lnTo>
                      <a:pt x="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3" name="Freeform 451"/>
              <xdr:cNvSpPr>
                <a:spLocks noChangeAspect="1"/>
              </xdr:cNvSpPr>
            </xdr:nvSpPr>
            <xdr:spPr bwMode="auto">
              <a:xfrm>
                <a:off x="2337" y="3524"/>
                <a:ext cx="0" cy="1"/>
              </a:xfrm>
              <a:custGeom>
                <a:avLst/>
                <a:gdLst>
                  <a:gd name="T0" fmla="*/ 0 w 6"/>
                  <a:gd name="T1" fmla="*/ 0 h 6"/>
                  <a:gd name="T2" fmla="*/ 0 w 6"/>
                  <a:gd name="T3" fmla="*/ 0 h 6"/>
                  <a:gd name="T4" fmla="*/ 0 w 6"/>
                  <a:gd name="T5" fmla="*/ 0 h 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6" h="6">
                    <a:moveTo>
                      <a:pt x="0" y="6"/>
                    </a:moveTo>
                    <a:lnTo>
                      <a:pt x="5" y="0"/>
                    </a:lnTo>
                    <a:lnTo>
                      <a:pt x="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4" name="Freeform 452"/>
              <xdr:cNvSpPr>
                <a:spLocks noChangeAspect="1"/>
              </xdr:cNvSpPr>
            </xdr:nvSpPr>
            <xdr:spPr bwMode="auto">
              <a:xfrm>
                <a:off x="2321" y="3542"/>
                <a:ext cx="0" cy="0"/>
              </a:xfrm>
              <a:custGeom>
                <a:avLst/>
                <a:gdLst>
                  <a:gd name="T0" fmla="*/ 0 w 1"/>
                  <a:gd name="T1" fmla="*/ 1 h 1"/>
                  <a:gd name="T2" fmla="*/ 0 w 1"/>
                  <a:gd name="T3" fmla="*/ 0 h 1"/>
                  <a:gd name="T4" fmla="*/ 1 w 1"/>
                  <a:gd name="T5" fmla="*/ 0 h 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">
                    <a:moveTo>
                      <a:pt x="0" y="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5" name="Freeform 453"/>
              <xdr:cNvSpPr>
                <a:spLocks noChangeAspect="1"/>
              </xdr:cNvSpPr>
            </xdr:nvSpPr>
            <xdr:spPr bwMode="auto">
              <a:xfrm>
                <a:off x="2337" y="3524"/>
                <a:ext cx="0" cy="0"/>
              </a:xfrm>
              <a:custGeom>
                <a:avLst/>
                <a:gdLst>
                  <a:gd name="T0" fmla="*/ 0 w 1"/>
                  <a:gd name="T1" fmla="*/ 1 h 1"/>
                  <a:gd name="T2" fmla="*/ 0 w 1"/>
                  <a:gd name="T3" fmla="*/ 0 h 1"/>
                  <a:gd name="T4" fmla="*/ 1 w 1"/>
                  <a:gd name="T5" fmla="*/ 0 h 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">
                    <a:moveTo>
                      <a:pt x="0" y="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6" name="Line 454"/>
              <xdr:cNvSpPr>
                <a:spLocks noChangeAspect="1" noChangeShapeType="1"/>
              </xdr:cNvSpPr>
            </xdr:nvSpPr>
            <xdr:spPr bwMode="auto">
              <a:xfrm>
                <a:off x="2327" y="3531"/>
                <a:ext cx="0" cy="0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67" name="Freeform 455"/>
              <xdr:cNvSpPr>
                <a:spLocks noChangeAspect="1"/>
              </xdr:cNvSpPr>
            </xdr:nvSpPr>
            <xdr:spPr bwMode="auto">
              <a:xfrm>
                <a:off x="2326" y="3530"/>
                <a:ext cx="1" cy="1"/>
              </a:xfrm>
              <a:custGeom>
                <a:avLst/>
                <a:gdLst>
                  <a:gd name="T0" fmla="*/ 0 w 9"/>
                  <a:gd name="T1" fmla="*/ 0 h 7"/>
                  <a:gd name="T2" fmla="*/ 0 w 9"/>
                  <a:gd name="T3" fmla="*/ 0 h 7"/>
                  <a:gd name="T4" fmla="*/ 0 w 9"/>
                  <a:gd name="T5" fmla="*/ 0 h 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9" h="7">
                    <a:moveTo>
                      <a:pt x="0" y="7"/>
                    </a:moveTo>
                    <a:lnTo>
                      <a:pt x="8" y="0"/>
                    </a:lnTo>
                    <a:lnTo>
                      <a:pt x="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8" name="Freeform 456"/>
              <xdr:cNvSpPr>
                <a:spLocks noChangeAspect="1"/>
              </xdr:cNvSpPr>
            </xdr:nvSpPr>
            <xdr:spPr bwMode="auto">
              <a:xfrm>
                <a:off x="2325" y="3529"/>
                <a:ext cx="2" cy="2"/>
              </a:xfrm>
              <a:custGeom>
                <a:avLst/>
                <a:gdLst>
                  <a:gd name="T0" fmla="*/ 0 w 15"/>
                  <a:gd name="T1" fmla="*/ 0 h 15"/>
                  <a:gd name="T2" fmla="*/ 0 w 15"/>
                  <a:gd name="T3" fmla="*/ 0 h 15"/>
                  <a:gd name="T4" fmla="*/ 0 w 15"/>
                  <a:gd name="T5" fmla="*/ 0 h 1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5" h="15">
                    <a:moveTo>
                      <a:pt x="0" y="15"/>
                    </a:moveTo>
                    <a:lnTo>
                      <a:pt x="14" y="0"/>
                    </a:lnTo>
                    <a:lnTo>
                      <a:pt x="1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69" name="Freeform 457"/>
              <xdr:cNvSpPr>
                <a:spLocks noChangeAspect="1"/>
              </xdr:cNvSpPr>
            </xdr:nvSpPr>
            <xdr:spPr bwMode="auto">
              <a:xfrm>
                <a:off x="2324" y="3528"/>
                <a:ext cx="3" cy="3"/>
              </a:xfrm>
              <a:custGeom>
                <a:avLst/>
                <a:gdLst>
                  <a:gd name="T0" fmla="*/ 0 w 23"/>
                  <a:gd name="T1" fmla="*/ 0 h 21"/>
                  <a:gd name="T2" fmla="*/ 0 w 23"/>
                  <a:gd name="T3" fmla="*/ 0 h 21"/>
                  <a:gd name="T4" fmla="*/ 0 w 23"/>
                  <a:gd name="T5" fmla="*/ 0 h 2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3" h="21">
                    <a:moveTo>
                      <a:pt x="0" y="21"/>
                    </a:moveTo>
                    <a:lnTo>
                      <a:pt x="22" y="0"/>
                    </a:lnTo>
                    <a:lnTo>
                      <a:pt x="2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0" name="Freeform 458"/>
              <xdr:cNvSpPr>
                <a:spLocks noChangeAspect="1"/>
              </xdr:cNvSpPr>
            </xdr:nvSpPr>
            <xdr:spPr bwMode="auto">
              <a:xfrm>
                <a:off x="2323" y="3527"/>
                <a:ext cx="4" cy="4"/>
              </a:xfrm>
              <a:custGeom>
                <a:avLst/>
                <a:gdLst>
                  <a:gd name="T0" fmla="*/ 0 w 29"/>
                  <a:gd name="T1" fmla="*/ 1 h 29"/>
                  <a:gd name="T2" fmla="*/ 1 w 29"/>
                  <a:gd name="T3" fmla="*/ 0 h 29"/>
                  <a:gd name="T4" fmla="*/ 1 w 29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9" h="29">
                    <a:moveTo>
                      <a:pt x="0" y="29"/>
                    </a:move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1" name="Freeform 459"/>
              <xdr:cNvSpPr>
                <a:spLocks noChangeAspect="1"/>
              </xdr:cNvSpPr>
            </xdr:nvSpPr>
            <xdr:spPr bwMode="auto">
              <a:xfrm>
                <a:off x="2322" y="3526"/>
                <a:ext cx="5" cy="5"/>
              </a:xfrm>
              <a:custGeom>
                <a:avLst/>
                <a:gdLst>
                  <a:gd name="T0" fmla="*/ 0 w 37"/>
                  <a:gd name="T1" fmla="*/ 1 h 35"/>
                  <a:gd name="T2" fmla="*/ 1 w 37"/>
                  <a:gd name="T3" fmla="*/ 0 h 35"/>
                  <a:gd name="T4" fmla="*/ 1 w 37"/>
                  <a:gd name="T5" fmla="*/ 0 h 3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7" h="35">
                    <a:moveTo>
                      <a:pt x="0" y="35"/>
                    </a:moveTo>
                    <a:lnTo>
                      <a:pt x="36" y="0"/>
                    </a:lnTo>
                    <a:lnTo>
                      <a:pt x="3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2" name="Freeform 460"/>
              <xdr:cNvSpPr>
                <a:spLocks noChangeAspect="1"/>
              </xdr:cNvSpPr>
            </xdr:nvSpPr>
            <xdr:spPr bwMode="auto">
              <a:xfrm>
                <a:off x="2322" y="3525"/>
                <a:ext cx="5" cy="6"/>
              </a:xfrm>
              <a:custGeom>
                <a:avLst/>
                <a:gdLst>
                  <a:gd name="T0" fmla="*/ 0 w 43"/>
                  <a:gd name="T1" fmla="*/ 1 h 43"/>
                  <a:gd name="T2" fmla="*/ 1 w 43"/>
                  <a:gd name="T3" fmla="*/ 0 h 43"/>
                  <a:gd name="T4" fmla="*/ 1 w 43"/>
                  <a:gd name="T5" fmla="*/ 0 h 4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3" h="43">
                    <a:moveTo>
                      <a:pt x="0" y="43"/>
                    </a:moveTo>
                    <a:lnTo>
                      <a:pt x="42" y="0"/>
                    </a:lnTo>
                    <a:lnTo>
                      <a:pt x="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3" name="Freeform 461"/>
              <xdr:cNvSpPr>
                <a:spLocks noChangeAspect="1"/>
              </xdr:cNvSpPr>
            </xdr:nvSpPr>
            <xdr:spPr bwMode="auto">
              <a:xfrm>
                <a:off x="2321" y="3524"/>
                <a:ext cx="6" cy="7"/>
              </a:xfrm>
              <a:custGeom>
                <a:avLst/>
                <a:gdLst>
                  <a:gd name="T0" fmla="*/ 0 w 51"/>
                  <a:gd name="T1" fmla="*/ 1 h 49"/>
                  <a:gd name="T2" fmla="*/ 1 w 51"/>
                  <a:gd name="T3" fmla="*/ 0 h 49"/>
                  <a:gd name="T4" fmla="*/ 1 w 51"/>
                  <a:gd name="T5" fmla="*/ 0 h 4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1" h="49">
                    <a:moveTo>
                      <a:pt x="0" y="49"/>
                    </a:moveTo>
                    <a:lnTo>
                      <a:pt x="50" y="0"/>
                    </a:lnTo>
                    <a:lnTo>
                      <a:pt x="5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4" name="Freeform 462"/>
              <xdr:cNvSpPr>
                <a:spLocks noChangeAspect="1"/>
              </xdr:cNvSpPr>
            </xdr:nvSpPr>
            <xdr:spPr bwMode="auto">
              <a:xfrm>
                <a:off x="2321" y="3525"/>
                <a:ext cx="4" cy="4"/>
              </a:xfrm>
              <a:custGeom>
                <a:avLst/>
                <a:gdLst>
                  <a:gd name="T0" fmla="*/ 0 w 31"/>
                  <a:gd name="T1" fmla="*/ 1 h 29"/>
                  <a:gd name="T2" fmla="*/ 1 w 31"/>
                  <a:gd name="T3" fmla="*/ 0 h 29"/>
                  <a:gd name="T4" fmla="*/ 1 w 31"/>
                  <a:gd name="T5" fmla="*/ 0 h 2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31" h="29">
                    <a:moveTo>
                      <a:pt x="0" y="29"/>
                    </a:moveTo>
                    <a:lnTo>
                      <a:pt x="30" y="0"/>
                    </a:lnTo>
                    <a:lnTo>
                      <a:pt x="3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5" name="Freeform 463"/>
              <xdr:cNvSpPr>
                <a:spLocks noChangeAspect="1"/>
              </xdr:cNvSpPr>
            </xdr:nvSpPr>
            <xdr:spPr bwMode="auto">
              <a:xfrm>
                <a:off x="2315" y="3516"/>
                <a:ext cx="34" cy="0"/>
              </a:xfrm>
              <a:custGeom>
                <a:avLst/>
                <a:gdLst>
                  <a:gd name="T0" fmla="*/ 0 w 267"/>
                  <a:gd name="T1" fmla="*/ 4 w 267"/>
                  <a:gd name="T2" fmla="*/ 4 w 26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7">
                    <a:moveTo>
                      <a:pt x="0" y="0"/>
                    </a:moveTo>
                    <a:lnTo>
                      <a:pt x="266" y="0"/>
                    </a:lnTo>
                    <a:lnTo>
                      <a:pt x="26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6" name="Freeform 464"/>
              <xdr:cNvSpPr>
                <a:spLocks noChangeAspect="1"/>
              </xdr:cNvSpPr>
            </xdr:nvSpPr>
            <xdr:spPr bwMode="auto">
              <a:xfrm>
                <a:off x="2313" y="3496"/>
                <a:ext cx="38" cy="0"/>
              </a:xfrm>
              <a:custGeom>
                <a:avLst/>
                <a:gdLst>
                  <a:gd name="T0" fmla="*/ 0 w 309"/>
                  <a:gd name="T1" fmla="*/ 5 w 309"/>
                  <a:gd name="T2" fmla="*/ 5 w 30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9">
                    <a:moveTo>
                      <a:pt x="0" y="0"/>
                    </a:moveTo>
                    <a:lnTo>
                      <a:pt x="308" y="0"/>
                    </a:lnTo>
                    <a:lnTo>
                      <a:pt x="30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7" name="Freeform 465"/>
              <xdr:cNvSpPr>
                <a:spLocks noChangeAspect="1"/>
              </xdr:cNvSpPr>
            </xdr:nvSpPr>
            <xdr:spPr bwMode="auto">
              <a:xfrm>
                <a:off x="2316" y="3513"/>
                <a:ext cx="32" cy="0"/>
              </a:xfrm>
              <a:custGeom>
                <a:avLst/>
                <a:gdLst>
                  <a:gd name="T0" fmla="*/ 0 w 253"/>
                  <a:gd name="T1" fmla="*/ 4 w 253"/>
                  <a:gd name="T2" fmla="*/ 4 w 2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3">
                    <a:moveTo>
                      <a:pt x="0" y="0"/>
                    </a:moveTo>
                    <a:lnTo>
                      <a:pt x="252" y="0"/>
                    </a:lnTo>
                    <a:lnTo>
                      <a:pt x="2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8" name="Freeform 466"/>
              <xdr:cNvSpPr>
                <a:spLocks noChangeAspect="1"/>
              </xdr:cNvSpPr>
            </xdr:nvSpPr>
            <xdr:spPr bwMode="auto">
              <a:xfrm>
                <a:off x="2316" y="3499"/>
                <a:ext cx="32" cy="0"/>
              </a:xfrm>
              <a:custGeom>
                <a:avLst/>
                <a:gdLst>
                  <a:gd name="T0" fmla="*/ 4 w 256"/>
                  <a:gd name="T1" fmla="*/ 0 w 256"/>
                  <a:gd name="T2" fmla="*/ 0 w 2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6">
                    <a:moveTo>
                      <a:pt x="25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79" name="Freeform 467"/>
              <xdr:cNvSpPr>
                <a:spLocks noChangeAspect="1"/>
              </xdr:cNvSpPr>
            </xdr:nvSpPr>
            <xdr:spPr bwMode="auto">
              <a:xfrm>
                <a:off x="2316" y="3506"/>
                <a:ext cx="32" cy="0"/>
              </a:xfrm>
              <a:custGeom>
                <a:avLst/>
                <a:gdLst>
                  <a:gd name="T0" fmla="*/ 4 w 256"/>
                  <a:gd name="T1" fmla="*/ 0 w 256"/>
                  <a:gd name="T2" fmla="*/ 0 w 2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6">
                    <a:moveTo>
                      <a:pt x="25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0" name="Freeform 468"/>
              <xdr:cNvSpPr>
                <a:spLocks noChangeAspect="1"/>
              </xdr:cNvSpPr>
            </xdr:nvSpPr>
            <xdr:spPr bwMode="auto">
              <a:xfrm>
                <a:off x="2320" y="3499"/>
                <a:ext cx="24" cy="0"/>
              </a:xfrm>
              <a:custGeom>
                <a:avLst/>
                <a:gdLst>
                  <a:gd name="T0" fmla="*/ 0 w 196"/>
                  <a:gd name="T1" fmla="*/ 3 w 196"/>
                  <a:gd name="T2" fmla="*/ 3 w 19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6">
                    <a:moveTo>
                      <a:pt x="0" y="0"/>
                    </a:moveTo>
                    <a:lnTo>
                      <a:pt x="194" y="0"/>
                    </a:lnTo>
                    <a:lnTo>
                      <a:pt x="19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1" name="Freeform 469"/>
              <xdr:cNvSpPr>
                <a:spLocks noChangeAspect="1"/>
              </xdr:cNvSpPr>
            </xdr:nvSpPr>
            <xdr:spPr bwMode="auto">
              <a:xfrm>
                <a:off x="2317" y="3549"/>
                <a:ext cx="10" cy="0"/>
              </a:xfrm>
              <a:custGeom>
                <a:avLst/>
                <a:gdLst>
                  <a:gd name="T0" fmla="*/ 0 w 83"/>
                  <a:gd name="T1" fmla="*/ 1 w 83"/>
                  <a:gd name="T2" fmla="*/ 1 w 8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3">
                    <a:moveTo>
                      <a:pt x="0" y="0"/>
                    </a:moveTo>
                    <a:lnTo>
                      <a:pt x="82" y="0"/>
                    </a:lnTo>
                    <a:lnTo>
                      <a:pt x="8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2" name="Freeform 470"/>
              <xdr:cNvSpPr>
                <a:spLocks noChangeAspect="1"/>
              </xdr:cNvSpPr>
            </xdr:nvSpPr>
            <xdr:spPr bwMode="auto">
              <a:xfrm>
                <a:off x="2317" y="3524"/>
                <a:ext cx="10" cy="0"/>
              </a:xfrm>
              <a:custGeom>
                <a:avLst/>
                <a:gdLst>
                  <a:gd name="T0" fmla="*/ 0 w 83"/>
                  <a:gd name="T1" fmla="*/ 1 w 83"/>
                  <a:gd name="T2" fmla="*/ 1 w 8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3">
                    <a:moveTo>
                      <a:pt x="0" y="0"/>
                    </a:moveTo>
                    <a:lnTo>
                      <a:pt x="82" y="0"/>
                    </a:lnTo>
                    <a:lnTo>
                      <a:pt x="8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3" name="Freeform 471"/>
              <xdr:cNvSpPr>
                <a:spLocks noChangeAspect="1"/>
              </xdr:cNvSpPr>
            </xdr:nvSpPr>
            <xdr:spPr bwMode="auto">
              <a:xfrm>
                <a:off x="2321" y="3542"/>
                <a:ext cx="11" cy="0"/>
              </a:xfrm>
              <a:custGeom>
                <a:avLst/>
                <a:gdLst>
                  <a:gd name="T0" fmla="*/ 0 w 92"/>
                  <a:gd name="T1" fmla="*/ 1 w 92"/>
                  <a:gd name="T2" fmla="*/ 1 w 92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92">
                    <a:moveTo>
                      <a:pt x="0" y="0"/>
                    </a:moveTo>
                    <a:lnTo>
                      <a:pt x="91" y="0"/>
                    </a:lnTo>
                    <a:lnTo>
                      <a:pt x="9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4" name="Freeform 472"/>
              <xdr:cNvSpPr>
                <a:spLocks noChangeAspect="1"/>
              </xdr:cNvSpPr>
            </xdr:nvSpPr>
            <xdr:spPr bwMode="auto">
              <a:xfrm>
                <a:off x="2324" y="3537"/>
                <a:ext cx="3" cy="0"/>
              </a:xfrm>
              <a:custGeom>
                <a:avLst/>
                <a:gdLst>
                  <a:gd name="T0" fmla="*/ 0 w 24"/>
                  <a:gd name="T1" fmla="*/ 0 w 24"/>
                  <a:gd name="T2" fmla="*/ 0 w 2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">
                    <a:moveTo>
                      <a:pt x="0" y="0"/>
                    </a:moveTo>
                    <a:lnTo>
                      <a:pt x="23" y="0"/>
                    </a:lnTo>
                    <a:lnTo>
                      <a:pt x="2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85" name="Freeform 473"/>
              <xdr:cNvSpPr>
                <a:spLocks noChangeAspect="1"/>
              </xdr:cNvSpPr>
            </xdr:nvSpPr>
            <xdr:spPr bwMode="auto">
              <a:xfrm>
                <a:off x="2321" y="3531"/>
                <a:ext cx="6" cy="0"/>
              </a:xfrm>
              <a:custGeom>
                <a:avLst/>
                <a:gdLst>
                  <a:gd name="T0" fmla="*/ 0 w 52"/>
                  <a:gd name="T1" fmla="*/ 1 w 52"/>
                  <a:gd name="T2" fmla="*/ 1 w 52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2">
                    <a:moveTo>
                      <a:pt x="0" y="0"/>
                    </a:moveTo>
                    <a:lnTo>
                      <a:pt x="51" y="0"/>
                    </a:lnTo>
                    <a:lnTo>
                      <a:pt x="5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27" name="Group 474"/>
            <xdr:cNvGrpSpPr>
              <a:grpSpLocks noChangeAspect="1"/>
            </xdr:cNvGrpSpPr>
          </xdr:nvGrpSpPr>
          <xdr:grpSpPr bwMode="auto">
            <a:xfrm>
              <a:off x="1376" y="1627"/>
              <a:ext cx="421" cy="320"/>
              <a:chOff x="2322" y="2929"/>
              <a:chExt cx="147" cy="112"/>
            </a:xfrm>
          </xdr:grpSpPr>
          <xdr:sp macro="" textlink="">
            <xdr:nvSpPr>
              <xdr:cNvPr id="226" name="Freeform 475"/>
              <xdr:cNvSpPr>
                <a:spLocks noChangeAspect="1"/>
              </xdr:cNvSpPr>
            </xdr:nvSpPr>
            <xdr:spPr bwMode="auto">
              <a:xfrm>
                <a:off x="2464" y="2937"/>
                <a:ext cx="2" cy="0"/>
              </a:xfrm>
              <a:custGeom>
                <a:avLst/>
                <a:gdLst>
                  <a:gd name="T0" fmla="*/ 0 w 17"/>
                  <a:gd name="T1" fmla="*/ 0 w 17"/>
                  <a:gd name="T2" fmla="*/ 0 w 1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7">
                    <a:moveTo>
                      <a:pt x="0" y="0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7" name="Freeform 476"/>
              <xdr:cNvSpPr>
                <a:spLocks noChangeAspect="1"/>
              </xdr:cNvSpPr>
            </xdr:nvSpPr>
            <xdr:spPr bwMode="auto">
              <a:xfrm>
                <a:off x="2419" y="2943"/>
                <a:ext cx="44" cy="0"/>
              </a:xfrm>
              <a:custGeom>
                <a:avLst/>
                <a:gdLst>
                  <a:gd name="T0" fmla="*/ 0 w 356"/>
                  <a:gd name="T1" fmla="*/ 5 w 356"/>
                  <a:gd name="T2" fmla="*/ 5 w 35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56">
                    <a:moveTo>
                      <a:pt x="0" y="0"/>
                    </a:moveTo>
                    <a:lnTo>
                      <a:pt x="355" y="0"/>
                    </a:lnTo>
                    <a:lnTo>
                      <a:pt x="35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8" name="Freeform 477"/>
              <xdr:cNvSpPr>
                <a:spLocks noChangeAspect="1"/>
              </xdr:cNvSpPr>
            </xdr:nvSpPr>
            <xdr:spPr bwMode="auto">
              <a:xfrm>
                <a:off x="2395" y="3020"/>
                <a:ext cx="62" cy="21"/>
              </a:xfrm>
              <a:custGeom>
                <a:avLst/>
                <a:gdLst>
                  <a:gd name="T0" fmla="*/ 8 w 493"/>
                  <a:gd name="T1" fmla="*/ 0 h 147"/>
                  <a:gd name="T2" fmla="*/ 0 w 493"/>
                  <a:gd name="T3" fmla="*/ 3 h 147"/>
                  <a:gd name="T4" fmla="*/ 0 w 493"/>
                  <a:gd name="T5" fmla="*/ 3 h 1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3" h="147">
                    <a:moveTo>
                      <a:pt x="493" y="0"/>
                    </a:moveTo>
                    <a:lnTo>
                      <a:pt x="0" y="147"/>
                    </a:lnTo>
                    <a:lnTo>
                      <a:pt x="1" y="14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9" name="Freeform 478"/>
              <xdr:cNvSpPr>
                <a:spLocks noChangeAspect="1"/>
              </xdr:cNvSpPr>
            </xdr:nvSpPr>
            <xdr:spPr bwMode="auto">
              <a:xfrm>
                <a:off x="2419" y="3018"/>
                <a:ext cx="39" cy="0"/>
              </a:xfrm>
              <a:custGeom>
                <a:avLst/>
                <a:gdLst>
                  <a:gd name="T0" fmla="*/ 0 w 310"/>
                  <a:gd name="T1" fmla="*/ 5 w 310"/>
                  <a:gd name="T2" fmla="*/ 5 w 310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10">
                    <a:moveTo>
                      <a:pt x="0" y="0"/>
                    </a:moveTo>
                    <a:lnTo>
                      <a:pt x="309" y="0"/>
                    </a:lnTo>
                    <a:lnTo>
                      <a:pt x="31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0" name="Freeform 479"/>
              <xdr:cNvSpPr>
                <a:spLocks noChangeAspect="1"/>
              </xdr:cNvSpPr>
            </xdr:nvSpPr>
            <xdr:spPr bwMode="auto">
              <a:xfrm>
                <a:off x="2415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1" name="Freeform 480"/>
              <xdr:cNvSpPr>
                <a:spLocks noChangeAspect="1"/>
              </xdr:cNvSpPr>
            </xdr:nvSpPr>
            <xdr:spPr bwMode="auto">
              <a:xfrm>
                <a:off x="2419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2" name="Freeform 481"/>
              <xdr:cNvSpPr>
                <a:spLocks noChangeAspect="1"/>
              </xdr:cNvSpPr>
            </xdr:nvSpPr>
            <xdr:spPr bwMode="auto">
              <a:xfrm>
                <a:off x="2457" y="2929"/>
                <a:ext cx="7" cy="93"/>
              </a:xfrm>
              <a:custGeom>
                <a:avLst/>
                <a:gdLst>
                  <a:gd name="T0" fmla="*/ 1 w 58"/>
                  <a:gd name="T1" fmla="*/ 0 h 652"/>
                  <a:gd name="T2" fmla="*/ 0 w 58"/>
                  <a:gd name="T3" fmla="*/ 13 h 652"/>
                  <a:gd name="T4" fmla="*/ 0 w 58"/>
                  <a:gd name="T5" fmla="*/ 13 h 6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8" h="652">
                    <a:moveTo>
                      <a:pt x="58" y="0"/>
                    </a:moveTo>
                    <a:lnTo>
                      <a:pt x="0" y="652"/>
                    </a:lnTo>
                    <a:lnTo>
                      <a:pt x="1" y="65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3" name="Freeform 482"/>
              <xdr:cNvSpPr>
                <a:spLocks noChangeAspect="1"/>
              </xdr:cNvSpPr>
            </xdr:nvSpPr>
            <xdr:spPr bwMode="auto">
              <a:xfrm>
                <a:off x="2328" y="2943"/>
                <a:ext cx="44" cy="0"/>
              </a:xfrm>
              <a:custGeom>
                <a:avLst/>
                <a:gdLst>
                  <a:gd name="T0" fmla="*/ 5 w 355"/>
                  <a:gd name="T1" fmla="*/ 0 w 355"/>
                  <a:gd name="T2" fmla="*/ 0 w 355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55">
                    <a:moveTo>
                      <a:pt x="355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4" name="Freeform 483"/>
              <xdr:cNvSpPr>
                <a:spLocks noChangeAspect="1"/>
              </xdr:cNvSpPr>
            </xdr:nvSpPr>
            <xdr:spPr bwMode="auto">
              <a:xfrm>
                <a:off x="2334" y="3018"/>
                <a:ext cx="38" cy="0"/>
              </a:xfrm>
              <a:custGeom>
                <a:avLst/>
                <a:gdLst>
                  <a:gd name="T0" fmla="*/ 5 w 309"/>
                  <a:gd name="T1" fmla="*/ 0 w 309"/>
                  <a:gd name="T2" fmla="*/ 0 w 30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09">
                    <a:moveTo>
                      <a:pt x="309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5" name="Freeform 484"/>
              <xdr:cNvSpPr>
                <a:spLocks noChangeAspect="1"/>
              </xdr:cNvSpPr>
            </xdr:nvSpPr>
            <xdr:spPr bwMode="auto">
              <a:xfrm>
                <a:off x="2327" y="2929"/>
                <a:ext cx="7" cy="93"/>
              </a:xfrm>
              <a:custGeom>
                <a:avLst/>
                <a:gdLst>
                  <a:gd name="T0" fmla="*/ 0 w 59"/>
                  <a:gd name="T1" fmla="*/ 0 h 652"/>
                  <a:gd name="T2" fmla="*/ 1 w 59"/>
                  <a:gd name="T3" fmla="*/ 13 h 652"/>
                  <a:gd name="T4" fmla="*/ 1 w 59"/>
                  <a:gd name="T5" fmla="*/ 13 h 65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9" h="652">
                    <a:moveTo>
                      <a:pt x="0" y="0"/>
                    </a:moveTo>
                    <a:lnTo>
                      <a:pt x="58" y="652"/>
                    </a:lnTo>
                    <a:lnTo>
                      <a:pt x="59" y="65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6" name="Freeform 485"/>
              <xdr:cNvSpPr>
                <a:spLocks noChangeAspect="1"/>
              </xdr:cNvSpPr>
            </xdr:nvSpPr>
            <xdr:spPr bwMode="auto">
              <a:xfrm>
                <a:off x="2376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7" name="Freeform 486"/>
              <xdr:cNvSpPr>
                <a:spLocks noChangeAspect="1"/>
              </xdr:cNvSpPr>
            </xdr:nvSpPr>
            <xdr:spPr bwMode="auto">
              <a:xfrm>
                <a:off x="2372" y="2943"/>
                <a:ext cx="0" cy="75"/>
              </a:xfrm>
              <a:custGeom>
                <a:avLst/>
                <a:gdLst>
                  <a:gd name="T0" fmla="*/ 0 w 1"/>
                  <a:gd name="T1" fmla="*/ 11 h 525"/>
                  <a:gd name="T2" fmla="*/ 0 w 1"/>
                  <a:gd name="T3" fmla="*/ 0 h 525"/>
                  <a:gd name="T4" fmla="*/ 1 w 1"/>
                  <a:gd name="T5" fmla="*/ 0 h 525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25">
                    <a:moveTo>
                      <a:pt x="0" y="525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8" name="Freeform 487"/>
              <xdr:cNvSpPr>
                <a:spLocks noChangeAspect="1"/>
              </xdr:cNvSpPr>
            </xdr:nvSpPr>
            <xdr:spPr bwMode="auto">
              <a:xfrm>
                <a:off x="2334" y="3018"/>
                <a:ext cx="81" cy="0"/>
              </a:xfrm>
              <a:custGeom>
                <a:avLst/>
                <a:gdLst>
                  <a:gd name="T0" fmla="*/ 0 w 653"/>
                  <a:gd name="T1" fmla="*/ 10 w 653"/>
                  <a:gd name="T2" fmla="*/ 10 w 6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653">
                    <a:moveTo>
                      <a:pt x="0" y="0"/>
                    </a:moveTo>
                    <a:lnTo>
                      <a:pt x="652" y="0"/>
                    </a:lnTo>
                    <a:lnTo>
                      <a:pt x="6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39" name="Freeform 488"/>
              <xdr:cNvSpPr>
                <a:spLocks noChangeAspect="1"/>
              </xdr:cNvSpPr>
            </xdr:nvSpPr>
            <xdr:spPr bwMode="auto">
              <a:xfrm>
                <a:off x="2334" y="3020"/>
                <a:ext cx="62" cy="21"/>
              </a:xfrm>
              <a:custGeom>
                <a:avLst/>
                <a:gdLst>
                  <a:gd name="T0" fmla="*/ 0 w 493"/>
                  <a:gd name="T1" fmla="*/ 0 h 147"/>
                  <a:gd name="T2" fmla="*/ 8 w 493"/>
                  <a:gd name="T3" fmla="*/ 3 h 147"/>
                  <a:gd name="T4" fmla="*/ 8 w 493"/>
                  <a:gd name="T5" fmla="*/ 3 h 14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493" h="147">
                    <a:moveTo>
                      <a:pt x="0" y="0"/>
                    </a:moveTo>
                    <a:lnTo>
                      <a:pt x="492" y="147"/>
                    </a:lnTo>
                    <a:lnTo>
                      <a:pt x="493" y="147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0" name="Freeform 489"/>
              <xdr:cNvSpPr>
                <a:spLocks noChangeAspect="1"/>
              </xdr:cNvSpPr>
            </xdr:nvSpPr>
            <xdr:spPr bwMode="auto">
              <a:xfrm>
                <a:off x="2376" y="2943"/>
                <a:ext cx="39" cy="0"/>
              </a:xfrm>
              <a:custGeom>
                <a:avLst/>
                <a:gdLst>
                  <a:gd name="T0" fmla="*/ 0 w 314"/>
                  <a:gd name="T1" fmla="*/ 5 w 314"/>
                  <a:gd name="T2" fmla="*/ 5 w 31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314">
                    <a:moveTo>
                      <a:pt x="0" y="0"/>
                    </a:moveTo>
                    <a:lnTo>
                      <a:pt x="313" y="0"/>
                    </a:lnTo>
                    <a:lnTo>
                      <a:pt x="3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1" name="Freeform 490"/>
              <xdr:cNvSpPr>
                <a:spLocks noChangeAspect="1"/>
              </xdr:cNvSpPr>
            </xdr:nvSpPr>
            <xdr:spPr bwMode="auto">
              <a:xfrm>
                <a:off x="2466" y="2933"/>
                <a:ext cx="3" cy="4"/>
              </a:xfrm>
              <a:custGeom>
                <a:avLst/>
                <a:gdLst>
                  <a:gd name="T0" fmla="*/ 0 w 29"/>
                  <a:gd name="T1" fmla="*/ 1 h 28"/>
                  <a:gd name="T2" fmla="*/ 0 w 29"/>
                  <a:gd name="T3" fmla="*/ 0 h 28"/>
                  <a:gd name="T4" fmla="*/ 0 w 29"/>
                  <a:gd name="T5" fmla="*/ 0 h 28"/>
                  <a:gd name="T6" fmla="*/ 0 w 29"/>
                  <a:gd name="T7" fmla="*/ 0 h 28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9" h="28">
                    <a:moveTo>
                      <a:pt x="0" y="28"/>
                    </a:moveTo>
                    <a:lnTo>
                      <a:pt x="20" y="21"/>
                    </a:lnTo>
                    <a:lnTo>
                      <a:pt x="28" y="0"/>
                    </a:lnTo>
                    <a:lnTo>
                      <a:pt x="2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2" name="Freeform 491"/>
              <xdr:cNvSpPr>
                <a:spLocks noChangeAspect="1"/>
              </xdr:cNvSpPr>
            </xdr:nvSpPr>
            <xdr:spPr bwMode="auto">
              <a:xfrm>
                <a:off x="2322" y="2933"/>
                <a:ext cx="4" cy="4"/>
              </a:xfrm>
              <a:custGeom>
                <a:avLst/>
                <a:gdLst>
                  <a:gd name="T0" fmla="*/ 0 w 29"/>
                  <a:gd name="T1" fmla="*/ 0 h 28"/>
                  <a:gd name="T2" fmla="*/ 0 w 29"/>
                  <a:gd name="T3" fmla="*/ 0 h 28"/>
                  <a:gd name="T4" fmla="*/ 1 w 29"/>
                  <a:gd name="T5" fmla="*/ 1 h 28"/>
                  <a:gd name="T6" fmla="*/ 1 w 29"/>
                  <a:gd name="T7" fmla="*/ 1 h 28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9" h="28">
                    <a:moveTo>
                      <a:pt x="0" y="0"/>
                    </a:moveTo>
                    <a:lnTo>
                      <a:pt x="8" y="21"/>
                    </a:lnTo>
                    <a:lnTo>
                      <a:pt x="28" y="28"/>
                    </a:lnTo>
                    <a:lnTo>
                      <a:pt x="29" y="28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3" name="Freeform 492"/>
              <xdr:cNvSpPr>
                <a:spLocks noChangeAspect="1"/>
              </xdr:cNvSpPr>
            </xdr:nvSpPr>
            <xdr:spPr bwMode="auto">
              <a:xfrm>
                <a:off x="2325" y="2937"/>
                <a:ext cx="3" cy="0"/>
              </a:xfrm>
              <a:custGeom>
                <a:avLst/>
                <a:gdLst>
                  <a:gd name="T0" fmla="*/ 0 w 17"/>
                  <a:gd name="T1" fmla="*/ 1 w 17"/>
                  <a:gd name="T2" fmla="*/ 1 w 1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7">
                    <a:moveTo>
                      <a:pt x="0" y="0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28" name="Freeform 493"/>
            <xdr:cNvSpPr>
              <a:spLocks noChangeAspect="1"/>
            </xdr:cNvSpPr>
          </xdr:nvSpPr>
          <xdr:spPr bwMode="auto">
            <a:xfrm>
              <a:off x="1214" y="1627"/>
              <a:ext cx="720" cy="0"/>
            </a:xfrm>
            <a:custGeom>
              <a:avLst/>
              <a:gdLst>
                <a:gd name="T0" fmla="*/ 0 w 2020"/>
                <a:gd name="T1" fmla="*/ 256 w 2020"/>
                <a:gd name="T2" fmla="*/ 257 w 202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020">
                  <a:moveTo>
                    <a:pt x="0" y="0"/>
                  </a:moveTo>
                  <a:lnTo>
                    <a:pt x="2018" y="0"/>
                  </a:lnTo>
                  <a:lnTo>
                    <a:pt x="202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" name="Freeform 494"/>
            <xdr:cNvSpPr>
              <a:spLocks noChangeAspect="1"/>
            </xdr:cNvSpPr>
          </xdr:nvSpPr>
          <xdr:spPr bwMode="auto">
            <a:xfrm>
              <a:off x="1799" y="1621"/>
              <a:ext cx="0" cy="6"/>
            </a:xfrm>
            <a:custGeom>
              <a:avLst/>
              <a:gdLst>
                <a:gd name="T0" fmla="*/ 0 w 1"/>
                <a:gd name="T1" fmla="*/ 2 h 15"/>
                <a:gd name="T2" fmla="*/ 0 w 1"/>
                <a:gd name="T3" fmla="*/ 0 h 15"/>
                <a:gd name="T4" fmla="*/ 1 w 1"/>
                <a:gd name="T5" fmla="*/ 0 h 1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5">
                  <a:moveTo>
                    <a:pt x="0" y="15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" name="Freeform 495"/>
            <xdr:cNvSpPr>
              <a:spLocks noChangeAspect="1"/>
            </xdr:cNvSpPr>
          </xdr:nvSpPr>
          <xdr:spPr bwMode="auto">
            <a:xfrm>
              <a:off x="1376" y="1621"/>
              <a:ext cx="0" cy="6"/>
            </a:xfrm>
            <a:custGeom>
              <a:avLst/>
              <a:gdLst>
                <a:gd name="T0" fmla="*/ 0 w 1"/>
                <a:gd name="T1" fmla="*/ 2 h 15"/>
                <a:gd name="T2" fmla="*/ 0 w 1"/>
                <a:gd name="T3" fmla="*/ 0 h 15"/>
                <a:gd name="T4" fmla="*/ 1 w 1"/>
                <a:gd name="T5" fmla="*/ 0 h 1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5">
                  <a:moveTo>
                    <a:pt x="0" y="15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" name="Freeform 496"/>
            <xdr:cNvSpPr>
              <a:spLocks noChangeAspect="1"/>
            </xdr:cNvSpPr>
          </xdr:nvSpPr>
          <xdr:spPr bwMode="auto">
            <a:xfrm>
              <a:off x="1376" y="1621"/>
              <a:ext cx="423" cy="0"/>
            </a:xfrm>
            <a:custGeom>
              <a:avLst/>
              <a:gdLst>
                <a:gd name="T0" fmla="*/ 0 w 1184"/>
                <a:gd name="T1" fmla="*/ 151 w 1184"/>
                <a:gd name="T2" fmla="*/ 151 w 118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184">
                  <a:moveTo>
                    <a:pt x="0" y="0"/>
                  </a:moveTo>
                  <a:lnTo>
                    <a:pt x="1183" y="0"/>
                  </a:lnTo>
                  <a:lnTo>
                    <a:pt x="118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" name="Freeform 497"/>
            <xdr:cNvSpPr>
              <a:spLocks noChangeAspect="1"/>
            </xdr:cNvSpPr>
          </xdr:nvSpPr>
          <xdr:spPr bwMode="auto">
            <a:xfrm>
              <a:off x="1376" y="1627"/>
              <a:ext cx="423" cy="0"/>
            </a:xfrm>
            <a:custGeom>
              <a:avLst/>
              <a:gdLst>
                <a:gd name="T0" fmla="*/ 0 w 1184"/>
                <a:gd name="T1" fmla="*/ 151 w 1184"/>
                <a:gd name="T2" fmla="*/ 151 w 118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184">
                  <a:moveTo>
                    <a:pt x="0" y="0"/>
                  </a:moveTo>
                  <a:lnTo>
                    <a:pt x="1183" y="0"/>
                  </a:lnTo>
                  <a:lnTo>
                    <a:pt x="118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" name="Freeform 498"/>
            <xdr:cNvSpPr>
              <a:spLocks noChangeAspect="1"/>
            </xdr:cNvSpPr>
          </xdr:nvSpPr>
          <xdr:spPr bwMode="auto">
            <a:xfrm>
              <a:off x="1797" y="1627"/>
              <a:ext cx="5" cy="5"/>
            </a:xfrm>
            <a:custGeom>
              <a:avLst/>
              <a:gdLst>
                <a:gd name="T0" fmla="*/ 2 w 12"/>
                <a:gd name="T1" fmla="*/ 0 h 11"/>
                <a:gd name="T2" fmla="*/ 0 w 12"/>
                <a:gd name="T3" fmla="*/ 0 h 11"/>
                <a:gd name="T4" fmla="*/ 0 w 12"/>
                <a:gd name="T5" fmla="*/ 2 h 11"/>
                <a:gd name="T6" fmla="*/ 0 w 12"/>
                <a:gd name="T7" fmla="*/ 2 h 1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11">
                  <a:moveTo>
                    <a:pt x="12" y="0"/>
                  </a:moveTo>
                  <a:lnTo>
                    <a:pt x="3" y="3"/>
                  </a:lnTo>
                  <a:lnTo>
                    <a:pt x="0" y="11"/>
                  </a:lnTo>
                  <a:lnTo>
                    <a:pt x="1" y="11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" name="Freeform 499"/>
            <xdr:cNvSpPr>
              <a:spLocks noChangeAspect="1"/>
            </xdr:cNvSpPr>
          </xdr:nvSpPr>
          <xdr:spPr bwMode="auto">
            <a:xfrm>
              <a:off x="1371" y="1627"/>
              <a:ext cx="5" cy="5"/>
            </a:xfrm>
            <a:custGeom>
              <a:avLst/>
              <a:gdLst>
                <a:gd name="T0" fmla="*/ 2 w 12"/>
                <a:gd name="T1" fmla="*/ 2 h 11"/>
                <a:gd name="T2" fmla="*/ 2 w 12"/>
                <a:gd name="T3" fmla="*/ 0 h 11"/>
                <a:gd name="T4" fmla="*/ 0 w 12"/>
                <a:gd name="T5" fmla="*/ 0 h 11"/>
                <a:gd name="T6" fmla="*/ 0 w 12"/>
                <a:gd name="T7" fmla="*/ 0 h 1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11">
                  <a:moveTo>
                    <a:pt x="12" y="11"/>
                  </a:moveTo>
                  <a:lnTo>
                    <a:pt x="9" y="3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" name="Freeform 500"/>
            <xdr:cNvSpPr>
              <a:spLocks noChangeAspect="1"/>
            </xdr:cNvSpPr>
          </xdr:nvSpPr>
          <xdr:spPr bwMode="auto">
            <a:xfrm>
              <a:off x="1802" y="1627"/>
              <a:ext cx="94" cy="0"/>
            </a:xfrm>
            <a:custGeom>
              <a:avLst/>
              <a:gdLst>
                <a:gd name="T0" fmla="*/ 0 w 268"/>
                <a:gd name="T1" fmla="*/ 33 w 268"/>
                <a:gd name="T2" fmla="*/ 33 w 26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68">
                  <a:moveTo>
                    <a:pt x="0" y="0"/>
                  </a:moveTo>
                  <a:lnTo>
                    <a:pt x="267" y="0"/>
                  </a:lnTo>
                  <a:lnTo>
                    <a:pt x="26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" name="Freeform 501"/>
            <xdr:cNvSpPr>
              <a:spLocks noChangeAspect="1"/>
            </xdr:cNvSpPr>
          </xdr:nvSpPr>
          <xdr:spPr bwMode="auto">
            <a:xfrm>
              <a:off x="1896" y="1592"/>
              <a:ext cx="32" cy="35"/>
            </a:xfrm>
            <a:custGeom>
              <a:avLst/>
              <a:gdLst>
                <a:gd name="T0" fmla="*/ 0 w 87"/>
                <a:gd name="T1" fmla="*/ 15 h 82"/>
                <a:gd name="T2" fmla="*/ 6 w 87"/>
                <a:gd name="T3" fmla="*/ 13 h 82"/>
                <a:gd name="T4" fmla="*/ 10 w 87"/>
                <a:gd name="T5" fmla="*/ 8 h 82"/>
                <a:gd name="T6" fmla="*/ 12 w 87"/>
                <a:gd name="T7" fmla="*/ 0 h 82"/>
                <a:gd name="T8" fmla="*/ 12 w 87"/>
                <a:gd name="T9" fmla="*/ 0 h 8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7" h="82">
                  <a:moveTo>
                    <a:pt x="0" y="82"/>
                  </a:moveTo>
                  <a:lnTo>
                    <a:pt x="43" y="71"/>
                  </a:lnTo>
                  <a:lnTo>
                    <a:pt x="74" y="41"/>
                  </a:lnTo>
                  <a:lnTo>
                    <a:pt x="86" y="0"/>
                  </a:lnTo>
                  <a:lnTo>
                    <a:pt x="87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" name="Freeform 502"/>
            <xdr:cNvSpPr>
              <a:spLocks noChangeAspect="1"/>
            </xdr:cNvSpPr>
          </xdr:nvSpPr>
          <xdr:spPr bwMode="auto">
            <a:xfrm>
              <a:off x="1317" y="1592"/>
              <a:ext cx="31" cy="35"/>
            </a:xfrm>
            <a:custGeom>
              <a:avLst/>
              <a:gdLst>
                <a:gd name="T0" fmla="*/ 0 w 87"/>
                <a:gd name="T1" fmla="*/ 0 h 82"/>
                <a:gd name="T2" fmla="*/ 2 w 87"/>
                <a:gd name="T3" fmla="*/ 8 h 82"/>
                <a:gd name="T4" fmla="*/ 6 w 87"/>
                <a:gd name="T5" fmla="*/ 13 h 82"/>
                <a:gd name="T6" fmla="*/ 11 w 87"/>
                <a:gd name="T7" fmla="*/ 15 h 82"/>
                <a:gd name="T8" fmla="*/ 11 w 87"/>
                <a:gd name="T9" fmla="*/ 15 h 8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7" h="82">
                  <a:moveTo>
                    <a:pt x="0" y="0"/>
                  </a:moveTo>
                  <a:lnTo>
                    <a:pt x="13" y="41"/>
                  </a:lnTo>
                  <a:lnTo>
                    <a:pt x="44" y="71"/>
                  </a:lnTo>
                  <a:lnTo>
                    <a:pt x="86" y="82"/>
                  </a:lnTo>
                  <a:lnTo>
                    <a:pt x="87" y="8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" name="Freeform 503"/>
            <xdr:cNvSpPr>
              <a:spLocks noChangeAspect="1"/>
            </xdr:cNvSpPr>
          </xdr:nvSpPr>
          <xdr:spPr bwMode="auto">
            <a:xfrm>
              <a:off x="1314" y="1512"/>
              <a:ext cx="3" cy="80"/>
            </a:xfrm>
            <a:custGeom>
              <a:avLst/>
              <a:gdLst>
                <a:gd name="T0" fmla="*/ 0 w 7"/>
                <a:gd name="T1" fmla="*/ 0 h 196"/>
                <a:gd name="T2" fmla="*/ 1 w 7"/>
                <a:gd name="T3" fmla="*/ 33 h 196"/>
                <a:gd name="T4" fmla="*/ 1 w 7"/>
                <a:gd name="T5" fmla="*/ 33 h 19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196">
                  <a:moveTo>
                    <a:pt x="0" y="0"/>
                  </a:moveTo>
                  <a:lnTo>
                    <a:pt x="6" y="196"/>
                  </a:lnTo>
                  <a:lnTo>
                    <a:pt x="7" y="19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" name="Freeform 504"/>
            <xdr:cNvSpPr>
              <a:spLocks noChangeAspect="1"/>
            </xdr:cNvSpPr>
          </xdr:nvSpPr>
          <xdr:spPr bwMode="auto">
            <a:xfrm>
              <a:off x="1928" y="1512"/>
              <a:ext cx="3" cy="80"/>
            </a:xfrm>
            <a:custGeom>
              <a:avLst/>
              <a:gdLst>
                <a:gd name="T0" fmla="*/ 2 w 6"/>
                <a:gd name="T1" fmla="*/ 0 h 196"/>
                <a:gd name="T2" fmla="*/ 0 w 6"/>
                <a:gd name="T3" fmla="*/ 33 h 196"/>
                <a:gd name="T4" fmla="*/ 1 w 6"/>
                <a:gd name="T5" fmla="*/ 33 h 19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6" h="196">
                  <a:moveTo>
                    <a:pt x="6" y="0"/>
                  </a:moveTo>
                  <a:lnTo>
                    <a:pt x="0" y="196"/>
                  </a:lnTo>
                  <a:lnTo>
                    <a:pt x="1" y="19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" name="Freeform 505"/>
            <xdr:cNvSpPr>
              <a:spLocks noChangeAspect="1"/>
            </xdr:cNvSpPr>
          </xdr:nvSpPr>
          <xdr:spPr bwMode="auto">
            <a:xfrm>
              <a:off x="1797" y="1632"/>
              <a:ext cx="0" cy="6"/>
            </a:xfrm>
            <a:custGeom>
              <a:avLst/>
              <a:gdLst>
                <a:gd name="T0" fmla="*/ 0 w 1"/>
                <a:gd name="T1" fmla="*/ 0 h 16"/>
                <a:gd name="T2" fmla="*/ 0 w 1"/>
                <a:gd name="T3" fmla="*/ 2 h 16"/>
                <a:gd name="T4" fmla="*/ 1 w 1"/>
                <a:gd name="T5" fmla="*/ 2 h 1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6">
                  <a:moveTo>
                    <a:pt x="0" y="0"/>
                  </a:moveTo>
                  <a:lnTo>
                    <a:pt x="0" y="16"/>
                  </a:lnTo>
                  <a:lnTo>
                    <a:pt x="1" y="1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" name="Freeform 506"/>
            <xdr:cNvSpPr>
              <a:spLocks noChangeAspect="1"/>
            </xdr:cNvSpPr>
          </xdr:nvSpPr>
          <xdr:spPr bwMode="auto">
            <a:xfrm>
              <a:off x="1376" y="1632"/>
              <a:ext cx="0" cy="6"/>
            </a:xfrm>
            <a:custGeom>
              <a:avLst/>
              <a:gdLst>
                <a:gd name="T0" fmla="*/ 0 w 1"/>
                <a:gd name="T1" fmla="*/ 0 h 16"/>
                <a:gd name="T2" fmla="*/ 0 w 1"/>
                <a:gd name="T3" fmla="*/ 2 h 16"/>
                <a:gd name="T4" fmla="*/ 1 w 1"/>
                <a:gd name="T5" fmla="*/ 2 h 1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16">
                  <a:moveTo>
                    <a:pt x="0" y="0"/>
                  </a:moveTo>
                  <a:lnTo>
                    <a:pt x="0" y="16"/>
                  </a:lnTo>
                  <a:lnTo>
                    <a:pt x="1" y="1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2" name="Freeform 507"/>
            <xdr:cNvSpPr>
              <a:spLocks noChangeAspect="1"/>
            </xdr:cNvSpPr>
          </xdr:nvSpPr>
          <xdr:spPr bwMode="auto">
            <a:xfrm>
              <a:off x="1348" y="1627"/>
              <a:ext cx="26" cy="0"/>
            </a:xfrm>
            <a:custGeom>
              <a:avLst/>
              <a:gdLst>
                <a:gd name="T0" fmla="*/ 0 w 70"/>
                <a:gd name="T1" fmla="*/ 10 w 70"/>
                <a:gd name="T2" fmla="*/ 10 w 7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0">
                  <a:moveTo>
                    <a:pt x="0" y="0"/>
                  </a:moveTo>
                  <a:lnTo>
                    <a:pt x="69" y="0"/>
                  </a:lnTo>
                  <a:lnTo>
                    <a:pt x="7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" name="Freeform 508"/>
            <xdr:cNvSpPr>
              <a:spLocks noChangeAspect="1"/>
            </xdr:cNvSpPr>
          </xdr:nvSpPr>
          <xdr:spPr bwMode="auto">
            <a:xfrm>
              <a:off x="1357" y="1478"/>
              <a:ext cx="35" cy="0"/>
            </a:xfrm>
            <a:custGeom>
              <a:avLst/>
              <a:gdLst>
                <a:gd name="T0" fmla="*/ 0 w 98"/>
                <a:gd name="T1" fmla="*/ 13 w 98"/>
                <a:gd name="T2" fmla="*/ 13 w 9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">
                  <a:moveTo>
                    <a:pt x="0" y="0"/>
                  </a:moveTo>
                  <a:lnTo>
                    <a:pt x="97" y="0"/>
                  </a:lnTo>
                  <a:lnTo>
                    <a:pt x="9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" name="Freeform 509"/>
            <xdr:cNvSpPr>
              <a:spLocks noChangeAspect="1"/>
            </xdr:cNvSpPr>
          </xdr:nvSpPr>
          <xdr:spPr bwMode="auto">
            <a:xfrm>
              <a:off x="1357" y="1460"/>
              <a:ext cx="0" cy="18"/>
            </a:xfrm>
            <a:custGeom>
              <a:avLst/>
              <a:gdLst>
                <a:gd name="T0" fmla="*/ 0 w 1"/>
                <a:gd name="T1" fmla="*/ 0 h 45"/>
                <a:gd name="T2" fmla="*/ 0 w 1"/>
                <a:gd name="T3" fmla="*/ 7 h 45"/>
                <a:gd name="T4" fmla="*/ 1 w 1"/>
                <a:gd name="T5" fmla="*/ 7 h 4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45">
                  <a:moveTo>
                    <a:pt x="0" y="0"/>
                  </a:moveTo>
                  <a:lnTo>
                    <a:pt x="0" y="45"/>
                  </a:lnTo>
                  <a:lnTo>
                    <a:pt x="1" y="45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" name="Freeform 510"/>
            <xdr:cNvSpPr>
              <a:spLocks noChangeAspect="1"/>
            </xdr:cNvSpPr>
          </xdr:nvSpPr>
          <xdr:spPr bwMode="auto">
            <a:xfrm>
              <a:off x="1365" y="1478"/>
              <a:ext cx="27" cy="0"/>
            </a:xfrm>
            <a:custGeom>
              <a:avLst/>
              <a:gdLst>
                <a:gd name="T0" fmla="*/ 0 w 75"/>
                <a:gd name="T1" fmla="*/ 10 w 75"/>
                <a:gd name="T2" fmla="*/ 10 w 7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5">
                  <a:moveTo>
                    <a:pt x="0" y="0"/>
                  </a:moveTo>
                  <a:lnTo>
                    <a:pt x="74" y="0"/>
                  </a:lnTo>
                  <a:lnTo>
                    <a:pt x="7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" name="Freeform 511"/>
            <xdr:cNvSpPr>
              <a:spLocks noChangeAspect="1"/>
            </xdr:cNvSpPr>
          </xdr:nvSpPr>
          <xdr:spPr bwMode="auto">
            <a:xfrm>
              <a:off x="1785" y="1478"/>
              <a:ext cx="34" cy="0"/>
            </a:xfrm>
            <a:custGeom>
              <a:avLst/>
              <a:gdLst>
                <a:gd name="T0" fmla="*/ 12 w 98"/>
                <a:gd name="T1" fmla="*/ 0 w 98"/>
                <a:gd name="T2" fmla="*/ 0 w 98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">
                  <a:moveTo>
                    <a:pt x="98" y="0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" name="Freeform 512"/>
            <xdr:cNvSpPr>
              <a:spLocks noChangeAspect="1"/>
            </xdr:cNvSpPr>
          </xdr:nvSpPr>
          <xdr:spPr bwMode="auto">
            <a:xfrm>
              <a:off x="1783" y="1478"/>
              <a:ext cx="25" cy="0"/>
            </a:xfrm>
            <a:custGeom>
              <a:avLst/>
              <a:gdLst>
                <a:gd name="T0" fmla="*/ 8 w 75"/>
                <a:gd name="T1" fmla="*/ 0 w 75"/>
                <a:gd name="T2" fmla="*/ 0 w 7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75">
                  <a:moveTo>
                    <a:pt x="75" y="0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8" name="Freeform 513"/>
            <xdr:cNvSpPr>
              <a:spLocks noChangeAspect="1"/>
            </xdr:cNvSpPr>
          </xdr:nvSpPr>
          <xdr:spPr bwMode="auto">
            <a:xfrm>
              <a:off x="1394" y="1495"/>
              <a:ext cx="391" cy="0"/>
            </a:xfrm>
            <a:custGeom>
              <a:avLst/>
              <a:gdLst>
                <a:gd name="T0" fmla="*/ 0 w 1095"/>
                <a:gd name="T1" fmla="*/ 140 w 1095"/>
                <a:gd name="T2" fmla="*/ 140 w 1095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095">
                  <a:moveTo>
                    <a:pt x="0" y="0"/>
                  </a:moveTo>
                  <a:lnTo>
                    <a:pt x="1094" y="0"/>
                  </a:lnTo>
                  <a:lnTo>
                    <a:pt x="109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9" name="Freeform 514"/>
            <xdr:cNvSpPr>
              <a:spLocks noChangeAspect="1"/>
            </xdr:cNvSpPr>
          </xdr:nvSpPr>
          <xdr:spPr bwMode="auto">
            <a:xfrm>
              <a:off x="1392" y="1487"/>
              <a:ext cx="2" cy="8"/>
            </a:xfrm>
            <a:custGeom>
              <a:avLst/>
              <a:gdLst>
                <a:gd name="T0" fmla="*/ 1 w 5"/>
                <a:gd name="T1" fmla="*/ 4 h 17"/>
                <a:gd name="T2" fmla="*/ 0 w 5"/>
                <a:gd name="T3" fmla="*/ 0 h 17"/>
                <a:gd name="T4" fmla="*/ 0 w 5"/>
                <a:gd name="T5" fmla="*/ 0 h 1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" h="17">
                  <a:moveTo>
                    <a:pt x="5" y="17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" name="Freeform 515"/>
            <xdr:cNvSpPr>
              <a:spLocks noChangeAspect="1"/>
            </xdr:cNvSpPr>
          </xdr:nvSpPr>
          <xdr:spPr bwMode="auto">
            <a:xfrm>
              <a:off x="1392" y="1478"/>
              <a:ext cx="2" cy="17"/>
            </a:xfrm>
            <a:custGeom>
              <a:avLst/>
              <a:gdLst>
                <a:gd name="T0" fmla="*/ 0 w 5"/>
                <a:gd name="T1" fmla="*/ 0 h 44"/>
                <a:gd name="T2" fmla="*/ 0 w 5"/>
                <a:gd name="T3" fmla="*/ 7 h 44"/>
                <a:gd name="T4" fmla="*/ 1 w 5"/>
                <a:gd name="T5" fmla="*/ 7 h 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" h="44">
                  <a:moveTo>
                    <a:pt x="0" y="0"/>
                  </a:moveTo>
                  <a:lnTo>
                    <a:pt x="3" y="44"/>
                  </a:lnTo>
                  <a:lnTo>
                    <a:pt x="5" y="4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" name="Freeform 516"/>
            <xdr:cNvSpPr>
              <a:spLocks noChangeAspect="1"/>
            </xdr:cNvSpPr>
          </xdr:nvSpPr>
          <xdr:spPr bwMode="auto">
            <a:xfrm>
              <a:off x="1783" y="1478"/>
              <a:ext cx="2" cy="17"/>
            </a:xfrm>
            <a:custGeom>
              <a:avLst/>
              <a:gdLst>
                <a:gd name="T0" fmla="*/ 2 w 2"/>
                <a:gd name="T1" fmla="*/ 0 h 44"/>
                <a:gd name="T2" fmla="*/ 0 w 2"/>
                <a:gd name="T3" fmla="*/ 7 h 44"/>
                <a:gd name="T4" fmla="*/ 1 w 2"/>
                <a:gd name="T5" fmla="*/ 7 h 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44">
                  <a:moveTo>
                    <a:pt x="2" y="0"/>
                  </a:moveTo>
                  <a:lnTo>
                    <a:pt x="0" y="44"/>
                  </a:lnTo>
                  <a:lnTo>
                    <a:pt x="1" y="4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" name="Freeform 517"/>
            <xdr:cNvSpPr>
              <a:spLocks noChangeAspect="1"/>
            </xdr:cNvSpPr>
          </xdr:nvSpPr>
          <xdr:spPr bwMode="auto">
            <a:xfrm rot="-4882971">
              <a:off x="1563" y="1307"/>
              <a:ext cx="64" cy="369"/>
            </a:xfrm>
            <a:custGeom>
              <a:avLst/>
              <a:gdLst>
                <a:gd name="T0" fmla="*/ 1 w 178"/>
                <a:gd name="T1" fmla="*/ 0 h 899"/>
                <a:gd name="T2" fmla="*/ 0 w 178"/>
                <a:gd name="T3" fmla="*/ 0 h 899"/>
                <a:gd name="T4" fmla="*/ 23 w 178"/>
                <a:gd name="T5" fmla="*/ 151 h 899"/>
                <a:gd name="T6" fmla="*/ 1 w 178"/>
                <a:gd name="T7" fmla="*/ 0 h 89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8" h="899">
                  <a:moveTo>
                    <a:pt x="7" y="0"/>
                  </a:moveTo>
                  <a:lnTo>
                    <a:pt x="0" y="2"/>
                  </a:lnTo>
                  <a:lnTo>
                    <a:pt x="178" y="899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Freeform 518"/>
            <xdr:cNvSpPr>
              <a:spLocks noChangeAspect="1"/>
            </xdr:cNvSpPr>
          </xdr:nvSpPr>
          <xdr:spPr bwMode="auto">
            <a:xfrm rot="-4882971">
              <a:off x="1564" y="1310"/>
              <a:ext cx="63" cy="366"/>
            </a:xfrm>
            <a:custGeom>
              <a:avLst/>
              <a:gdLst>
                <a:gd name="T0" fmla="*/ 0 w 178"/>
                <a:gd name="T1" fmla="*/ 0 h 898"/>
                <a:gd name="T2" fmla="*/ 22 w 178"/>
                <a:gd name="T3" fmla="*/ 149 h 898"/>
                <a:gd name="T4" fmla="*/ 22 w 178"/>
                <a:gd name="T5" fmla="*/ 149 h 898"/>
                <a:gd name="T6" fmla="*/ 0 w 178"/>
                <a:gd name="T7" fmla="*/ 0 h 89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8" h="898">
                  <a:moveTo>
                    <a:pt x="0" y="0"/>
                  </a:moveTo>
                  <a:lnTo>
                    <a:pt x="178" y="897"/>
                  </a:lnTo>
                  <a:lnTo>
                    <a:pt x="171" y="89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4" name="Freeform 519"/>
            <xdr:cNvSpPr>
              <a:spLocks noChangeAspect="1"/>
            </xdr:cNvSpPr>
          </xdr:nvSpPr>
          <xdr:spPr bwMode="auto">
            <a:xfrm rot="-4882971">
              <a:off x="1551" y="1298"/>
              <a:ext cx="65" cy="388"/>
            </a:xfrm>
            <a:custGeom>
              <a:avLst/>
              <a:gdLst>
                <a:gd name="T0" fmla="*/ 1 w 178"/>
                <a:gd name="T1" fmla="*/ 0 h 900"/>
                <a:gd name="T2" fmla="*/ 0 w 178"/>
                <a:gd name="T3" fmla="*/ 0 h 900"/>
                <a:gd name="T4" fmla="*/ 23 w 178"/>
                <a:gd name="T5" fmla="*/ 167 h 900"/>
                <a:gd name="T6" fmla="*/ 24 w 178"/>
                <a:gd name="T7" fmla="*/ 167 h 900"/>
                <a:gd name="T8" fmla="*/ 1 w 178"/>
                <a:gd name="T9" fmla="*/ 0 h 90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78" h="900">
                  <a:moveTo>
                    <a:pt x="7" y="0"/>
                  </a:moveTo>
                  <a:lnTo>
                    <a:pt x="0" y="2"/>
                  </a:lnTo>
                  <a:lnTo>
                    <a:pt x="171" y="900"/>
                  </a:lnTo>
                  <a:lnTo>
                    <a:pt x="178" y="899"/>
                  </a:lnTo>
                  <a:lnTo>
                    <a:pt x="7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" name="Freeform 520"/>
            <xdr:cNvSpPr>
              <a:spLocks noChangeAspect="1"/>
            </xdr:cNvSpPr>
          </xdr:nvSpPr>
          <xdr:spPr bwMode="auto">
            <a:xfrm rot="-4882971">
              <a:off x="1528" y="1265"/>
              <a:ext cx="65" cy="363"/>
            </a:xfrm>
            <a:custGeom>
              <a:avLst/>
              <a:gdLst>
                <a:gd name="T0" fmla="*/ 23 w 186"/>
                <a:gd name="T1" fmla="*/ 149 h 887"/>
                <a:gd name="T2" fmla="*/ 14 w 186"/>
                <a:gd name="T3" fmla="*/ 74 h 887"/>
                <a:gd name="T4" fmla="*/ 0 w 186"/>
                <a:gd name="T5" fmla="*/ 0 h 887"/>
                <a:gd name="T6" fmla="*/ 0 w 186"/>
                <a:gd name="T7" fmla="*/ 0 h 88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86" h="887">
                  <a:moveTo>
                    <a:pt x="186" y="887"/>
                  </a:moveTo>
                  <a:lnTo>
                    <a:pt x="116" y="439"/>
                  </a:lnTo>
                  <a:lnTo>
                    <a:pt x="0" y="0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6" name="Freeform 521"/>
            <xdr:cNvSpPr>
              <a:spLocks noChangeAspect="1"/>
            </xdr:cNvSpPr>
          </xdr:nvSpPr>
          <xdr:spPr bwMode="auto">
            <a:xfrm rot="-4882971">
              <a:off x="1770" y="1489"/>
              <a:ext cx="21" cy="6"/>
            </a:xfrm>
            <a:custGeom>
              <a:avLst/>
              <a:gdLst>
                <a:gd name="T0" fmla="*/ 0 w 54"/>
                <a:gd name="T1" fmla="*/ 4 h 10"/>
                <a:gd name="T2" fmla="*/ 8 w 54"/>
                <a:gd name="T3" fmla="*/ 0 h 10"/>
                <a:gd name="T4" fmla="*/ 8 w 54"/>
                <a:gd name="T5" fmla="*/ 0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10">
                  <a:moveTo>
                    <a:pt x="0" y="10"/>
                  </a:moveTo>
                  <a:lnTo>
                    <a:pt x="53" y="0"/>
                  </a:lnTo>
                  <a:lnTo>
                    <a:pt x="5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7" name="Freeform 522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3 w 23"/>
                <a:gd name="T3" fmla="*/ 0 h 7"/>
                <a:gd name="T4" fmla="*/ 0 w 23"/>
                <a:gd name="T5" fmla="*/ 1 h 7"/>
                <a:gd name="T6" fmla="*/ 3 w 23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7">
                  <a:moveTo>
                    <a:pt x="23" y="3"/>
                  </a:moveTo>
                  <a:lnTo>
                    <a:pt x="23" y="0"/>
                  </a:lnTo>
                  <a:lnTo>
                    <a:pt x="0" y="7"/>
                  </a:lnTo>
                  <a:lnTo>
                    <a:pt x="23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23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4"/>
                <a:gd name="T1" fmla="*/ 0 h 7"/>
                <a:gd name="T2" fmla="*/ 0 w 24"/>
                <a:gd name="T3" fmla="*/ 1 h 7"/>
                <a:gd name="T4" fmla="*/ 0 w 24"/>
                <a:gd name="T5" fmla="*/ 1 h 7"/>
                <a:gd name="T6" fmla="*/ 3 w 24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7">
                  <a:moveTo>
                    <a:pt x="24" y="0"/>
                  </a:moveTo>
                  <a:lnTo>
                    <a:pt x="1" y="7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24"/>
            <xdr:cNvSpPr>
              <a:spLocks noChangeAspect="1"/>
            </xdr:cNvSpPr>
          </xdr:nvSpPr>
          <xdr:spPr bwMode="auto">
            <a:xfrm rot="-4882971">
              <a:off x="1606" y="1520"/>
              <a:ext cx="8" cy="3"/>
            </a:xfrm>
            <a:custGeom>
              <a:avLst/>
              <a:gdLst>
                <a:gd name="T0" fmla="*/ 3 w 24"/>
                <a:gd name="T1" fmla="*/ 0 h 7"/>
                <a:gd name="T2" fmla="*/ 3 w 24"/>
                <a:gd name="T3" fmla="*/ 0 h 7"/>
                <a:gd name="T4" fmla="*/ 0 w 24"/>
                <a:gd name="T5" fmla="*/ 1 h 7"/>
                <a:gd name="T6" fmla="*/ 0 w 24"/>
                <a:gd name="T7" fmla="*/ 1 h 7"/>
                <a:gd name="T8" fmla="*/ 3 w 24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7">
                  <a:moveTo>
                    <a:pt x="24" y="3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7"/>
                  </a:lnTo>
                  <a:lnTo>
                    <a:pt x="24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" name="Freeform 525"/>
            <xdr:cNvSpPr>
              <a:spLocks noChangeAspect="1"/>
            </xdr:cNvSpPr>
          </xdr:nvSpPr>
          <xdr:spPr bwMode="auto">
            <a:xfrm rot="-4882971">
              <a:off x="1589" y="1475"/>
              <a:ext cx="14" cy="78"/>
            </a:xfrm>
            <a:custGeom>
              <a:avLst/>
              <a:gdLst>
                <a:gd name="T0" fmla="*/ 0 w 37"/>
                <a:gd name="T1" fmla="*/ 0 h 193"/>
                <a:gd name="T2" fmla="*/ 5 w 37"/>
                <a:gd name="T3" fmla="*/ 32 h 193"/>
                <a:gd name="T4" fmla="*/ 5 w 37"/>
                <a:gd name="T5" fmla="*/ 32 h 193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7" h="193">
                  <a:moveTo>
                    <a:pt x="0" y="0"/>
                  </a:moveTo>
                  <a:lnTo>
                    <a:pt x="36" y="193"/>
                  </a:lnTo>
                  <a:lnTo>
                    <a:pt x="37" y="19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" name="Freeform 526"/>
            <xdr:cNvSpPr>
              <a:spLocks noChangeAspect="1"/>
            </xdr:cNvSpPr>
          </xdr:nvSpPr>
          <xdr:spPr bwMode="auto">
            <a:xfrm rot="-4882971">
              <a:off x="1590" y="1489"/>
              <a:ext cx="13" cy="78"/>
            </a:xfrm>
            <a:custGeom>
              <a:avLst/>
              <a:gdLst>
                <a:gd name="T0" fmla="*/ 0 w 38"/>
                <a:gd name="T1" fmla="*/ 0 h 192"/>
                <a:gd name="T2" fmla="*/ 4 w 38"/>
                <a:gd name="T3" fmla="*/ 32 h 192"/>
                <a:gd name="T4" fmla="*/ 4 w 38"/>
                <a:gd name="T5" fmla="*/ 32 h 19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8" h="192">
                  <a:moveTo>
                    <a:pt x="0" y="0"/>
                  </a:moveTo>
                  <a:lnTo>
                    <a:pt x="37" y="192"/>
                  </a:lnTo>
                  <a:lnTo>
                    <a:pt x="38" y="19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" name="Freeform 527"/>
            <xdr:cNvSpPr>
              <a:spLocks noChangeAspect="1"/>
            </xdr:cNvSpPr>
          </xdr:nvSpPr>
          <xdr:spPr bwMode="auto">
            <a:xfrm rot="-4882971">
              <a:off x="1558" y="1315"/>
              <a:ext cx="61" cy="380"/>
            </a:xfrm>
            <a:custGeom>
              <a:avLst/>
              <a:gdLst>
                <a:gd name="T0" fmla="*/ 0 w 172"/>
                <a:gd name="T1" fmla="*/ 0 h 899"/>
                <a:gd name="T2" fmla="*/ 22 w 172"/>
                <a:gd name="T3" fmla="*/ 161 h 899"/>
                <a:gd name="T4" fmla="*/ 22 w 172"/>
                <a:gd name="T5" fmla="*/ 161 h 89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72" h="899">
                  <a:moveTo>
                    <a:pt x="0" y="0"/>
                  </a:moveTo>
                  <a:lnTo>
                    <a:pt x="171" y="899"/>
                  </a:lnTo>
                  <a:lnTo>
                    <a:pt x="172" y="899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" name="Freeform 528"/>
            <xdr:cNvSpPr>
              <a:spLocks noChangeAspect="1"/>
            </xdr:cNvSpPr>
          </xdr:nvSpPr>
          <xdr:spPr bwMode="auto">
            <a:xfrm rot="-4882971">
              <a:off x="1631" y="1521"/>
              <a:ext cx="5" cy="3"/>
            </a:xfrm>
            <a:custGeom>
              <a:avLst/>
              <a:gdLst>
                <a:gd name="T0" fmla="*/ 1 w 23"/>
                <a:gd name="T1" fmla="*/ 1 h 8"/>
                <a:gd name="T2" fmla="*/ 1 w 23"/>
                <a:gd name="T3" fmla="*/ 0 h 8"/>
                <a:gd name="T4" fmla="*/ 0 w 23"/>
                <a:gd name="T5" fmla="*/ 1 h 8"/>
                <a:gd name="T6" fmla="*/ 1 w 23"/>
                <a:gd name="T7" fmla="*/ 1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8">
                  <a:moveTo>
                    <a:pt x="23" y="4"/>
                  </a:moveTo>
                  <a:lnTo>
                    <a:pt x="23" y="0"/>
                  </a:lnTo>
                  <a:lnTo>
                    <a:pt x="0" y="8"/>
                  </a:lnTo>
                  <a:lnTo>
                    <a:pt x="23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4" name="Freeform 529"/>
            <xdr:cNvSpPr>
              <a:spLocks noChangeAspect="1"/>
            </xdr:cNvSpPr>
          </xdr:nvSpPr>
          <xdr:spPr bwMode="auto">
            <a:xfrm rot="-4882971">
              <a:off x="1630" y="1521"/>
              <a:ext cx="8" cy="3"/>
            </a:xfrm>
            <a:custGeom>
              <a:avLst/>
              <a:gdLst>
                <a:gd name="T0" fmla="*/ 3 w 24"/>
                <a:gd name="T1" fmla="*/ 0 h 8"/>
                <a:gd name="T2" fmla="*/ 0 w 24"/>
                <a:gd name="T3" fmla="*/ 1 h 8"/>
                <a:gd name="T4" fmla="*/ 0 w 24"/>
                <a:gd name="T5" fmla="*/ 1 h 8"/>
                <a:gd name="T6" fmla="*/ 3 w 24"/>
                <a:gd name="T7" fmla="*/ 0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0"/>
                  </a:moveTo>
                  <a:lnTo>
                    <a:pt x="1" y="8"/>
                  </a:lnTo>
                  <a:lnTo>
                    <a:pt x="0" y="5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" name="Freeform 530"/>
            <xdr:cNvSpPr>
              <a:spLocks noChangeAspect="1"/>
            </xdr:cNvSpPr>
          </xdr:nvSpPr>
          <xdr:spPr bwMode="auto">
            <a:xfrm rot="-4882971">
              <a:off x="1630" y="1521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0 w 24"/>
                <a:gd name="T7" fmla="*/ 1 h 8"/>
                <a:gd name="T8" fmla="*/ 3 w 24"/>
                <a:gd name="T9" fmla="*/ 1 h 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5"/>
                  </a:lnTo>
                  <a:lnTo>
                    <a:pt x="1" y="8"/>
                  </a:lnTo>
                  <a:lnTo>
                    <a:pt x="24" y="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" name="Freeform 531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2"/>
                <a:gd name="T1" fmla="*/ 0 h 7"/>
                <a:gd name="T2" fmla="*/ 3 w 22"/>
                <a:gd name="T3" fmla="*/ 0 h 7"/>
                <a:gd name="T4" fmla="*/ 0 w 22"/>
                <a:gd name="T5" fmla="*/ 1 h 7"/>
                <a:gd name="T6" fmla="*/ 3 w 2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7">
                  <a:moveTo>
                    <a:pt x="22" y="3"/>
                  </a:moveTo>
                  <a:lnTo>
                    <a:pt x="22" y="0"/>
                  </a:lnTo>
                  <a:lnTo>
                    <a:pt x="0" y="7"/>
                  </a:lnTo>
                  <a:lnTo>
                    <a:pt x="2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7" name="Freeform 532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0 w 23"/>
                <a:gd name="T3" fmla="*/ 1 h 7"/>
                <a:gd name="T4" fmla="*/ 0 w 23"/>
                <a:gd name="T5" fmla="*/ 1 h 7"/>
                <a:gd name="T6" fmla="*/ 3 w 23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7">
                  <a:moveTo>
                    <a:pt x="23" y="0"/>
                  </a:moveTo>
                  <a:lnTo>
                    <a:pt x="1" y="7"/>
                  </a:lnTo>
                  <a:lnTo>
                    <a:pt x="0" y="4"/>
                  </a:lnTo>
                  <a:lnTo>
                    <a:pt x="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8" name="Freeform 533"/>
            <xdr:cNvSpPr>
              <a:spLocks noChangeAspect="1"/>
            </xdr:cNvSpPr>
          </xdr:nvSpPr>
          <xdr:spPr bwMode="auto">
            <a:xfrm rot="-4882971">
              <a:off x="1624" y="1520"/>
              <a:ext cx="8" cy="3"/>
            </a:xfrm>
            <a:custGeom>
              <a:avLst/>
              <a:gdLst>
                <a:gd name="T0" fmla="*/ 3 w 23"/>
                <a:gd name="T1" fmla="*/ 0 h 7"/>
                <a:gd name="T2" fmla="*/ 3 w 23"/>
                <a:gd name="T3" fmla="*/ 0 h 7"/>
                <a:gd name="T4" fmla="*/ 0 w 23"/>
                <a:gd name="T5" fmla="*/ 1 h 7"/>
                <a:gd name="T6" fmla="*/ 0 w 23"/>
                <a:gd name="T7" fmla="*/ 1 h 7"/>
                <a:gd name="T8" fmla="*/ 3 w 23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3" h="7">
                  <a:moveTo>
                    <a:pt x="23" y="3"/>
                  </a:moveTo>
                  <a:lnTo>
                    <a:pt x="23" y="0"/>
                  </a:lnTo>
                  <a:lnTo>
                    <a:pt x="0" y="4"/>
                  </a:lnTo>
                  <a:lnTo>
                    <a:pt x="1" y="7"/>
                  </a:lnTo>
                  <a:lnTo>
                    <a:pt x="23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534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2"/>
                <a:gd name="T1" fmla="*/ 1 h 6"/>
                <a:gd name="T2" fmla="*/ 3 w 22"/>
                <a:gd name="T3" fmla="*/ 0 h 6"/>
                <a:gd name="T4" fmla="*/ 0 w 22"/>
                <a:gd name="T5" fmla="*/ 2 h 6"/>
                <a:gd name="T6" fmla="*/ 3 w 22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6">
                  <a:moveTo>
                    <a:pt x="22" y="2"/>
                  </a:moveTo>
                  <a:lnTo>
                    <a:pt x="22" y="0"/>
                  </a:lnTo>
                  <a:lnTo>
                    <a:pt x="0" y="6"/>
                  </a:lnTo>
                  <a:lnTo>
                    <a:pt x="2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0" name="Freeform 535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2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" name="Freeform 536"/>
            <xdr:cNvSpPr>
              <a:spLocks noChangeAspect="1"/>
            </xdr:cNvSpPr>
          </xdr:nvSpPr>
          <xdr:spPr bwMode="auto">
            <a:xfrm rot="-4882971">
              <a:off x="1618" y="1519"/>
              <a:ext cx="8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2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" name="Freeform 537"/>
            <xdr:cNvSpPr>
              <a:spLocks noChangeAspect="1"/>
            </xdr:cNvSpPr>
          </xdr:nvSpPr>
          <xdr:spPr bwMode="auto">
            <a:xfrm rot="-4882971">
              <a:off x="1630" y="1518"/>
              <a:ext cx="14" cy="3"/>
            </a:xfrm>
            <a:custGeom>
              <a:avLst/>
              <a:gdLst>
                <a:gd name="T0" fmla="*/ 6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" name="Freeform 538"/>
            <xdr:cNvSpPr>
              <a:spLocks noChangeAspect="1"/>
            </xdr:cNvSpPr>
          </xdr:nvSpPr>
          <xdr:spPr bwMode="auto">
            <a:xfrm rot="-4882971">
              <a:off x="1618" y="1507"/>
              <a:ext cx="12" cy="3"/>
            </a:xfrm>
            <a:custGeom>
              <a:avLst/>
              <a:gdLst>
                <a:gd name="T0" fmla="*/ 4 w 33"/>
                <a:gd name="T1" fmla="*/ 0 h 7"/>
                <a:gd name="T2" fmla="*/ 0 w 33"/>
                <a:gd name="T3" fmla="*/ 1 h 7"/>
                <a:gd name="T4" fmla="*/ 0 w 33"/>
                <a:gd name="T5" fmla="*/ 1 h 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3" h="7">
                  <a:moveTo>
                    <a:pt x="33" y="0"/>
                  </a:moveTo>
                  <a:lnTo>
                    <a:pt x="0" y="7"/>
                  </a:lnTo>
                  <a:lnTo>
                    <a:pt x="1" y="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" name="Freeform 539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4 w 23"/>
                <a:gd name="T1" fmla="*/ 1 h 6"/>
                <a:gd name="T2" fmla="*/ 4 w 23"/>
                <a:gd name="T3" fmla="*/ 0 h 6"/>
                <a:gd name="T4" fmla="*/ 0 w 23"/>
                <a:gd name="T5" fmla="*/ 2 h 6"/>
                <a:gd name="T6" fmla="*/ 4 w 23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6"/>
                  </a:lnTo>
                  <a:lnTo>
                    <a:pt x="2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" name="Freeform 540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" name="Freeform 541"/>
            <xdr:cNvSpPr>
              <a:spLocks noChangeAspect="1"/>
            </xdr:cNvSpPr>
          </xdr:nvSpPr>
          <xdr:spPr bwMode="auto">
            <a:xfrm rot="-4882971">
              <a:off x="1554" y="1523"/>
              <a:ext cx="9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" name="Freeform 542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2"/>
                <a:gd name="T1" fmla="*/ 1 h 6"/>
                <a:gd name="T2" fmla="*/ 3 w 22"/>
                <a:gd name="T3" fmla="*/ 0 h 6"/>
                <a:gd name="T4" fmla="*/ 0 w 22"/>
                <a:gd name="T5" fmla="*/ 2 h 6"/>
                <a:gd name="T6" fmla="*/ 3 w 22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6">
                  <a:moveTo>
                    <a:pt x="22" y="2"/>
                  </a:moveTo>
                  <a:lnTo>
                    <a:pt x="22" y="0"/>
                  </a:lnTo>
                  <a:lnTo>
                    <a:pt x="0" y="6"/>
                  </a:lnTo>
                  <a:lnTo>
                    <a:pt x="2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" name="Freeform 543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3"/>
                <a:gd name="T1" fmla="*/ 0 h 6"/>
                <a:gd name="T2" fmla="*/ 0 w 23"/>
                <a:gd name="T3" fmla="*/ 2 h 6"/>
                <a:gd name="T4" fmla="*/ 0 w 23"/>
                <a:gd name="T5" fmla="*/ 1 h 6"/>
                <a:gd name="T6" fmla="*/ 3 w 23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9" name="Freeform 544"/>
            <xdr:cNvSpPr>
              <a:spLocks noChangeAspect="1"/>
            </xdr:cNvSpPr>
          </xdr:nvSpPr>
          <xdr:spPr bwMode="auto">
            <a:xfrm rot="-4882971">
              <a:off x="1592" y="1521"/>
              <a:ext cx="8" cy="3"/>
            </a:xfrm>
            <a:custGeom>
              <a:avLst/>
              <a:gdLst>
                <a:gd name="T0" fmla="*/ 3 w 23"/>
                <a:gd name="T1" fmla="*/ 1 h 6"/>
                <a:gd name="T2" fmla="*/ 3 w 23"/>
                <a:gd name="T3" fmla="*/ 0 h 6"/>
                <a:gd name="T4" fmla="*/ 0 w 23"/>
                <a:gd name="T5" fmla="*/ 1 h 6"/>
                <a:gd name="T6" fmla="*/ 0 w 23"/>
                <a:gd name="T7" fmla="*/ 2 h 6"/>
                <a:gd name="T8" fmla="*/ 3 w 23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3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" name="Freeform 545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3 w 24"/>
                <a:gd name="T7" fmla="*/ 1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8"/>
                  </a:lnTo>
                  <a:lnTo>
                    <a:pt x="24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1" name="Freeform 546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0 h 8"/>
                <a:gd name="T2" fmla="*/ 0 w 24"/>
                <a:gd name="T3" fmla="*/ 1 h 8"/>
                <a:gd name="T4" fmla="*/ 0 w 24"/>
                <a:gd name="T5" fmla="*/ 1 h 8"/>
                <a:gd name="T6" fmla="*/ 3 w 24"/>
                <a:gd name="T7" fmla="*/ 0 h 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8">
                  <a:moveTo>
                    <a:pt x="24" y="0"/>
                  </a:moveTo>
                  <a:lnTo>
                    <a:pt x="0" y="8"/>
                  </a:lnTo>
                  <a:lnTo>
                    <a:pt x="0" y="5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" name="Freeform 547"/>
            <xdr:cNvSpPr>
              <a:spLocks noChangeAspect="1"/>
            </xdr:cNvSpPr>
          </xdr:nvSpPr>
          <xdr:spPr bwMode="auto">
            <a:xfrm rot="-4882971">
              <a:off x="1581" y="1519"/>
              <a:ext cx="8" cy="3"/>
            </a:xfrm>
            <a:custGeom>
              <a:avLst/>
              <a:gdLst>
                <a:gd name="T0" fmla="*/ 3 w 24"/>
                <a:gd name="T1" fmla="*/ 1 h 8"/>
                <a:gd name="T2" fmla="*/ 3 w 24"/>
                <a:gd name="T3" fmla="*/ 0 h 8"/>
                <a:gd name="T4" fmla="*/ 0 w 24"/>
                <a:gd name="T5" fmla="*/ 1 h 8"/>
                <a:gd name="T6" fmla="*/ 0 w 24"/>
                <a:gd name="T7" fmla="*/ 1 h 8"/>
                <a:gd name="T8" fmla="*/ 3 w 24"/>
                <a:gd name="T9" fmla="*/ 1 h 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8">
                  <a:moveTo>
                    <a:pt x="24" y="4"/>
                  </a:moveTo>
                  <a:lnTo>
                    <a:pt x="24" y="0"/>
                  </a:lnTo>
                  <a:lnTo>
                    <a:pt x="0" y="5"/>
                  </a:lnTo>
                  <a:lnTo>
                    <a:pt x="0" y="8"/>
                  </a:lnTo>
                  <a:lnTo>
                    <a:pt x="24" y="4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3" name="Freeform 548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4 w 23"/>
                <a:gd name="T1" fmla="*/ 1 h 6"/>
                <a:gd name="T2" fmla="*/ 4 w 23"/>
                <a:gd name="T3" fmla="*/ 0 h 6"/>
                <a:gd name="T4" fmla="*/ 0 w 23"/>
                <a:gd name="T5" fmla="*/ 2 h 6"/>
                <a:gd name="T6" fmla="*/ 4 w 23"/>
                <a:gd name="T7" fmla="*/ 1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6">
                  <a:moveTo>
                    <a:pt x="23" y="2"/>
                  </a:moveTo>
                  <a:lnTo>
                    <a:pt x="23" y="0"/>
                  </a:lnTo>
                  <a:lnTo>
                    <a:pt x="0" y="6"/>
                  </a:lnTo>
                  <a:lnTo>
                    <a:pt x="2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" name="Freeform 549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3 w 24"/>
                <a:gd name="T1" fmla="*/ 0 h 6"/>
                <a:gd name="T2" fmla="*/ 0 w 24"/>
                <a:gd name="T3" fmla="*/ 2 h 6"/>
                <a:gd name="T4" fmla="*/ 0 w 24"/>
                <a:gd name="T5" fmla="*/ 1 h 6"/>
                <a:gd name="T6" fmla="*/ 3 w 24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6">
                  <a:moveTo>
                    <a:pt x="24" y="0"/>
                  </a:moveTo>
                  <a:lnTo>
                    <a:pt x="1" y="6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5" name="Freeform 550"/>
            <xdr:cNvSpPr>
              <a:spLocks noChangeAspect="1"/>
            </xdr:cNvSpPr>
          </xdr:nvSpPr>
          <xdr:spPr bwMode="auto">
            <a:xfrm rot="-4882971">
              <a:off x="1568" y="1522"/>
              <a:ext cx="9" cy="3"/>
            </a:xfrm>
            <a:custGeom>
              <a:avLst/>
              <a:gdLst>
                <a:gd name="T0" fmla="*/ 3 w 24"/>
                <a:gd name="T1" fmla="*/ 1 h 6"/>
                <a:gd name="T2" fmla="*/ 3 w 24"/>
                <a:gd name="T3" fmla="*/ 0 h 6"/>
                <a:gd name="T4" fmla="*/ 0 w 24"/>
                <a:gd name="T5" fmla="*/ 1 h 6"/>
                <a:gd name="T6" fmla="*/ 0 w 24"/>
                <a:gd name="T7" fmla="*/ 2 h 6"/>
                <a:gd name="T8" fmla="*/ 3 w 24"/>
                <a:gd name="T9" fmla="*/ 1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6">
                  <a:moveTo>
                    <a:pt x="24" y="2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1" y="6"/>
                  </a:lnTo>
                  <a:lnTo>
                    <a:pt x="24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" name="Freeform 551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4 w 22"/>
                <a:gd name="T1" fmla="*/ 0 h 7"/>
                <a:gd name="T2" fmla="*/ 4 w 22"/>
                <a:gd name="T3" fmla="*/ 0 h 7"/>
                <a:gd name="T4" fmla="*/ 0 w 22"/>
                <a:gd name="T5" fmla="*/ 1 h 7"/>
                <a:gd name="T6" fmla="*/ 4 w 2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2" h="7">
                  <a:moveTo>
                    <a:pt x="22" y="3"/>
                  </a:moveTo>
                  <a:lnTo>
                    <a:pt x="22" y="0"/>
                  </a:lnTo>
                  <a:lnTo>
                    <a:pt x="0" y="7"/>
                  </a:lnTo>
                  <a:lnTo>
                    <a:pt x="2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" name="Freeform 552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3 w 24"/>
                <a:gd name="T1" fmla="*/ 0 h 7"/>
                <a:gd name="T2" fmla="*/ 0 w 24"/>
                <a:gd name="T3" fmla="*/ 1 h 7"/>
                <a:gd name="T4" fmla="*/ 0 w 24"/>
                <a:gd name="T5" fmla="*/ 1 h 7"/>
                <a:gd name="T6" fmla="*/ 3 w 24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4" h="7">
                  <a:moveTo>
                    <a:pt x="24" y="0"/>
                  </a:moveTo>
                  <a:lnTo>
                    <a:pt x="2" y="7"/>
                  </a:lnTo>
                  <a:lnTo>
                    <a:pt x="0" y="4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8" name="Freeform 553"/>
            <xdr:cNvSpPr>
              <a:spLocks noChangeAspect="1"/>
            </xdr:cNvSpPr>
          </xdr:nvSpPr>
          <xdr:spPr bwMode="auto">
            <a:xfrm rot="-4882971">
              <a:off x="1559" y="1521"/>
              <a:ext cx="9" cy="3"/>
            </a:xfrm>
            <a:custGeom>
              <a:avLst/>
              <a:gdLst>
                <a:gd name="T0" fmla="*/ 3 w 24"/>
                <a:gd name="T1" fmla="*/ 0 h 7"/>
                <a:gd name="T2" fmla="*/ 3 w 24"/>
                <a:gd name="T3" fmla="*/ 0 h 7"/>
                <a:gd name="T4" fmla="*/ 0 w 24"/>
                <a:gd name="T5" fmla="*/ 1 h 7"/>
                <a:gd name="T6" fmla="*/ 0 w 24"/>
                <a:gd name="T7" fmla="*/ 1 h 7"/>
                <a:gd name="T8" fmla="*/ 3 w 24"/>
                <a:gd name="T9" fmla="*/ 0 h 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7">
                  <a:moveTo>
                    <a:pt x="24" y="3"/>
                  </a:moveTo>
                  <a:lnTo>
                    <a:pt x="24" y="0"/>
                  </a:lnTo>
                  <a:lnTo>
                    <a:pt x="0" y="4"/>
                  </a:lnTo>
                  <a:lnTo>
                    <a:pt x="2" y="7"/>
                  </a:lnTo>
                  <a:lnTo>
                    <a:pt x="24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9" name="Freeform 554"/>
            <xdr:cNvSpPr>
              <a:spLocks noChangeAspect="1"/>
            </xdr:cNvSpPr>
          </xdr:nvSpPr>
          <xdr:spPr bwMode="auto">
            <a:xfrm rot="-4882971">
              <a:off x="1553" y="1520"/>
              <a:ext cx="12" cy="3"/>
            </a:xfrm>
            <a:custGeom>
              <a:avLst/>
              <a:gdLst>
                <a:gd name="T0" fmla="*/ 4 w 36"/>
                <a:gd name="T1" fmla="*/ 0 h 7"/>
                <a:gd name="T2" fmla="*/ 0 w 36"/>
                <a:gd name="T3" fmla="*/ 1 h 7"/>
                <a:gd name="T4" fmla="*/ 0 w 36"/>
                <a:gd name="T5" fmla="*/ 1 h 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6" h="7">
                  <a:moveTo>
                    <a:pt x="36" y="0"/>
                  </a:moveTo>
                  <a:lnTo>
                    <a:pt x="0" y="7"/>
                  </a:lnTo>
                  <a:lnTo>
                    <a:pt x="1" y="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555"/>
            <xdr:cNvSpPr>
              <a:spLocks noChangeAspect="1"/>
            </xdr:cNvSpPr>
          </xdr:nvSpPr>
          <xdr:spPr bwMode="auto">
            <a:xfrm rot="-4882971">
              <a:off x="1563" y="1507"/>
              <a:ext cx="12" cy="3"/>
            </a:xfrm>
            <a:custGeom>
              <a:avLst/>
              <a:gdLst>
                <a:gd name="T0" fmla="*/ 4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1" name="Freeform 556"/>
            <xdr:cNvSpPr>
              <a:spLocks noChangeAspect="1"/>
            </xdr:cNvSpPr>
          </xdr:nvSpPr>
          <xdr:spPr bwMode="auto">
            <a:xfrm rot="-4882971">
              <a:off x="1563" y="1507"/>
              <a:ext cx="12" cy="3"/>
            </a:xfrm>
            <a:custGeom>
              <a:avLst/>
              <a:gdLst>
                <a:gd name="T0" fmla="*/ 4 w 35"/>
                <a:gd name="T1" fmla="*/ 0 h 6"/>
                <a:gd name="T2" fmla="*/ 0 w 35"/>
                <a:gd name="T3" fmla="*/ 2 h 6"/>
                <a:gd name="T4" fmla="*/ 0 w 35"/>
                <a:gd name="T5" fmla="*/ 2 h 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5" h="6">
                  <a:moveTo>
                    <a:pt x="35" y="0"/>
                  </a:moveTo>
                  <a:lnTo>
                    <a:pt x="0" y="6"/>
                  </a:lnTo>
                  <a:lnTo>
                    <a:pt x="1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" name="Freeform 557"/>
            <xdr:cNvSpPr>
              <a:spLocks noChangeAspect="1"/>
            </xdr:cNvSpPr>
          </xdr:nvSpPr>
          <xdr:spPr bwMode="auto">
            <a:xfrm rot="-4882971">
              <a:off x="1384" y="1495"/>
              <a:ext cx="21" cy="3"/>
            </a:xfrm>
            <a:custGeom>
              <a:avLst/>
              <a:gdLst>
                <a:gd name="T0" fmla="*/ 8 w 53"/>
                <a:gd name="T1" fmla="*/ 0 h 10"/>
                <a:gd name="T2" fmla="*/ 0 w 53"/>
                <a:gd name="T3" fmla="*/ 1 h 10"/>
                <a:gd name="T4" fmla="*/ 0 w 53"/>
                <a:gd name="T5" fmla="*/ 1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3" h="10">
                  <a:moveTo>
                    <a:pt x="53" y="0"/>
                  </a:moveTo>
                  <a:lnTo>
                    <a:pt x="0" y="10"/>
                  </a:lnTo>
                  <a:lnTo>
                    <a:pt x="1" y="1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3" name="Freeform 558"/>
            <xdr:cNvSpPr>
              <a:spLocks noChangeAspect="1"/>
            </xdr:cNvSpPr>
          </xdr:nvSpPr>
          <xdr:spPr bwMode="auto">
            <a:xfrm rot="-4882971">
              <a:off x="1353" y="1453"/>
              <a:ext cx="26" cy="18"/>
            </a:xfrm>
            <a:custGeom>
              <a:avLst/>
              <a:gdLst>
                <a:gd name="T0" fmla="*/ 9 w 74"/>
                <a:gd name="T1" fmla="*/ 7 h 45"/>
                <a:gd name="T2" fmla="*/ 7 w 74"/>
                <a:gd name="T3" fmla="*/ 3 h 45"/>
                <a:gd name="T4" fmla="*/ 4 w 74"/>
                <a:gd name="T5" fmla="*/ 0 h 45"/>
                <a:gd name="T6" fmla="*/ 0 w 74"/>
                <a:gd name="T7" fmla="*/ 0 h 45"/>
                <a:gd name="T8" fmla="*/ 0 w 74"/>
                <a:gd name="T9" fmla="*/ 0 h 4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74" h="45">
                  <a:moveTo>
                    <a:pt x="74" y="45"/>
                  </a:moveTo>
                  <a:lnTo>
                    <a:pt x="58" y="19"/>
                  </a:lnTo>
                  <a:lnTo>
                    <a:pt x="31" y="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4" name="Freeform 559"/>
            <xdr:cNvSpPr>
              <a:spLocks noChangeAspect="1"/>
            </xdr:cNvSpPr>
          </xdr:nvSpPr>
          <xdr:spPr bwMode="auto">
            <a:xfrm rot="-4882971">
              <a:off x="1831" y="1461"/>
              <a:ext cx="3" cy="24"/>
            </a:xfrm>
            <a:custGeom>
              <a:avLst/>
              <a:gdLst>
                <a:gd name="T0" fmla="*/ 0 w 10"/>
                <a:gd name="T1" fmla="*/ 10 h 56"/>
                <a:gd name="T2" fmla="*/ 1 w 10"/>
                <a:gd name="T3" fmla="*/ 0 h 56"/>
                <a:gd name="T4" fmla="*/ 1 w 10"/>
                <a:gd name="T5" fmla="*/ 0 h 5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0" h="56">
                  <a:moveTo>
                    <a:pt x="0" y="56"/>
                  </a:moveTo>
                  <a:lnTo>
                    <a:pt x="9" y="0"/>
                  </a:lnTo>
                  <a:lnTo>
                    <a:pt x="1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5" name="Freeform 560"/>
            <xdr:cNvSpPr>
              <a:spLocks noChangeAspect="1"/>
            </xdr:cNvSpPr>
          </xdr:nvSpPr>
          <xdr:spPr bwMode="auto">
            <a:xfrm rot="-4882971">
              <a:off x="1843" y="1449"/>
              <a:ext cx="32" cy="26"/>
            </a:xfrm>
            <a:custGeom>
              <a:avLst/>
              <a:gdLst>
                <a:gd name="T0" fmla="*/ 0 w 89"/>
                <a:gd name="T1" fmla="*/ 0 h 60"/>
                <a:gd name="T2" fmla="*/ 0 w 89"/>
                <a:gd name="T3" fmla="*/ 6 h 60"/>
                <a:gd name="T4" fmla="*/ 3 w 89"/>
                <a:gd name="T5" fmla="*/ 10 h 60"/>
                <a:gd name="T6" fmla="*/ 7 w 89"/>
                <a:gd name="T7" fmla="*/ 11 h 60"/>
                <a:gd name="T8" fmla="*/ 10 w 89"/>
                <a:gd name="T9" fmla="*/ 8 h 60"/>
                <a:gd name="T10" fmla="*/ 12 w 89"/>
                <a:gd name="T11" fmla="*/ 2 h 60"/>
                <a:gd name="T12" fmla="*/ 12 w 89"/>
                <a:gd name="T13" fmla="*/ 2 h 60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89" h="60">
                  <a:moveTo>
                    <a:pt x="1" y="0"/>
                  </a:moveTo>
                  <a:lnTo>
                    <a:pt x="0" y="31"/>
                  </a:lnTo>
                  <a:lnTo>
                    <a:pt x="21" y="56"/>
                  </a:lnTo>
                  <a:lnTo>
                    <a:pt x="52" y="60"/>
                  </a:lnTo>
                  <a:lnTo>
                    <a:pt x="79" y="42"/>
                  </a:lnTo>
                  <a:lnTo>
                    <a:pt x="88" y="12"/>
                  </a:lnTo>
                  <a:lnTo>
                    <a:pt x="89" y="1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6" name="Freeform 561"/>
            <xdr:cNvSpPr>
              <a:spLocks noChangeAspect="1"/>
            </xdr:cNvSpPr>
          </xdr:nvSpPr>
          <xdr:spPr bwMode="auto">
            <a:xfrm rot="-4882971">
              <a:off x="1549" y="1244"/>
              <a:ext cx="77" cy="460"/>
            </a:xfrm>
            <a:custGeom>
              <a:avLst/>
              <a:gdLst>
                <a:gd name="T0" fmla="*/ 27 w 219"/>
                <a:gd name="T1" fmla="*/ 188 h 1128"/>
                <a:gd name="T2" fmla="*/ 22 w 219"/>
                <a:gd name="T3" fmla="*/ 124 h 1128"/>
                <a:gd name="T4" fmla="*/ 13 w 219"/>
                <a:gd name="T5" fmla="*/ 62 h 1128"/>
                <a:gd name="T6" fmla="*/ 0 w 219"/>
                <a:gd name="T7" fmla="*/ 0 h 1128"/>
                <a:gd name="T8" fmla="*/ 0 w 219"/>
                <a:gd name="T9" fmla="*/ 0 h 112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19" h="1128">
                  <a:moveTo>
                    <a:pt x="219" y="1128"/>
                  </a:moveTo>
                  <a:lnTo>
                    <a:pt x="179" y="746"/>
                  </a:lnTo>
                  <a:lnTo>
                    <a:pt x="106" y="370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7" name="Freeform 562"/>
            <xdr:cNvSpPr>
              <a:spLocks noChangeAspect="1"/>
            </xdr:cNvSpPr>
          </xdr:nvSpPr>
          <xdr:spPr bwMode="auto">
            <a:xfrm rot="-4882971">
              <a:off x="1794" y="1389"/>
              <a:ext cx="11" cy="109"/>
            </a:xfrm>
            <a:custGeom>
              <a:avLst/>
              <a:gdLst>
                <a:gd name="T0" fmla="*/ 4 w 28"/>
                <a:gd name="T1" fmla="*/ 45 h 266"/>
                <a:gd name="T2" fmla="*/ 0 w 28"/>
                <a:gd name="T3" fmla="*/ 0 h 266"/>
                <a:gd name="T4" fmla="*/ 0 w 28"/>
                <a:gd name="T5" fmla="*/ 0 h 26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8" h="266">
                  <a:moveTo>
                    <a:pt x="28" y="266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8" name="Freeform 563"/>
            <xdr:cNvSpPr>
              <a:spLocks noChangeAspect="1"/>
            </xdr:cNvSpPr>
          </xdr:nvSpPr>
          <xdr:spPr bwMode="auto">
            <a:xfrm>
              <a:off x="1783" y="1478"/>
              <a:ext cx="116" cy="0"/>
            </a:xfrm>
            <a:custGeom>
              <a:avLst/>
              <a:gdLst>
                <a:gd name="T0" fmla="*/ 0 w 332"/>
                <a:gd name="T1" fmla="*/ 41 w 332"/>
                <a:gd name="T2" fmla="*/ 41 w 33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332">
                  <a:moveTo>
                    <a:pt x="0" y="0"/>
                  </a:moveTo>
                  <a:lnTo>
                    <a:pt x="331" y="0"/>
                  </a:lnTo>
                  <a:lnTo>
                    <a:pt x="33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9" name="Freeform 564"/>
            <xdr:cNvSpPr>
              <a:spLocks noChangeAspect="1"/>
            </xdr:cNvSpPr>
          </xdr:nvSpPr>
          <xdr:spPr bwMode="auto">
            <a:xfrm>
              <a:off x="1899" y="1478"/>
              <a:ext cx="32" cy="34"/>
            </a:xfrm>
            <a:custGeom>
              <a:avLst/>
              <a:gdLst>
                <a:gd name="T0" fmla="*/ 12 w 84"/>
                <a:gd name="T1" fmla="*/ 13 h 87"/>
                <a:gd name="T2" fmla="*/ 11 w 84"/>
                <a:gd name="T3" fmla="*/ 7 h 87"/>
                <a:gd name="T4" fmla="*/ 6 w 84"/>
                <a:gd name="T5" fmla="*/ 2 h 87"/>
                <a:gd name="T6" fmla="*/ 0 w 84"/>
                <a:gd name="T7" fmla="*/ 0 h 87"/>
                <a:gd name="T8" fmla="*/ 0 w 84"/>
                <a:gd name="T9" fmla="*/ 0 h 8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87">
                  <a:moveTo>
                    <a:pt x="84" y="87"/>
                  </a:moveTo>
                  <a:lnTo>
                    <a:pt x="75" y="44"/>
                  </a:lnTo>
                  <a:lnTo>
                    <a:pt x="43" y="11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0" name="Freeform 565"/>
            <xdr:cNvSpPr>
              <a:spLocks noChangeAspect="1"/>
            </xdr:cNvSpPr>
          </xdr:nvSpPr>
          <xdr:spPr bwMode="auto">
            <a:xfrm>
              <a:off x="1314" y="1478"/>
              <a:ext cx="32" cy="34"/>
            </a:xfrm>
            <a:custGeom>
              <a:avLst/>
              <a:gdLst>
                <a:gd name="T0" fmla="*/ 12 w 84"/>
                <a:gd name="T1" fmla="*/ 0 h 87"/>
                <a:gd name="T2" fmla="*/ 6 w 84"/>
                <a:gd name="T3" fmla="*/ 2 h 87"/>
                <a:gd name="T4" fmla="*/ 1 w 84"/>
                <a:gd name="T5" fmla="*/ 7 h 87"/>
                <a:gd name="T6" fmla="*/ 0 w 84"/>
                <a:gd name="T7" fmla="*/ 13 h 87"/>
                <a:gd name="T8" fmla="*/ 0 w 84"/>
                <a:gd name="T9" fmla="*/ 13 h 8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87">
                  <a:moveTo>
                    <a:pt x="84" y="0"/>
                  </a:moveTo>
                  <a:lnTo>
                    <a:pt x="41" y="11"/>
                  </a:lnTo>
                  <a:lnTo>
                    <a:pt x="9" y="44"/>
                  </a:lnTo>
                  <a:lnTo>
                    <a:pt x="0" y="87"/>
                  </a:lnTo>
                  <a:lnTo>
                    <a:pt x="1" y="8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1" name="Freeform 566"/>
            <xdr:cNvSpPr>
              <a:spLocks noChangeAspect="1"/>
            </xdr:cNvSpPr>
          </xdr:nvSpPr>
          <xdr:spPr bwMode="auto">
            <a:xfrm>
              <a:off x="1346" y="1478"/>
              <a:ext cx="48" cy="0"/>
            </a:xfrm>
            <a:custGeom>
              <a:avLst/>
              <a:gdLst>
                <a:gd name="T0" fmla="*/ 0 w 134"/>
                <a:gd name="T1" fmla="*/ 17 w 134"/>
                <a:gd name="T2" fmla="*/ 17 w 134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34">
                  <a:moveTo>
                    <a:pt x="0" y="0"/>
                  </a:moveTo>
                  <a:lnTo>
                    <a:pt x="133" y="0"/>
                  </a:lnTo>
                  <a:lnTo>
                    <a:pt x="134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2" name="Freeform 567"/>
            <xdr:cNvSpPr>
              <a:spLocks noChangeAspect="1"/>
            </xdr:cNvSpPr>
          </xdr:nvSpPr>
          <xdr:spPr bwMode="auto">
            <a:xfrm>
              <a:off x="1914" y="1627"/>
              <a:ext cx="849" cy="0"/>
            </a:xfrm>
            <a:custGeom>
              <a:avLst/>
              <a:gdLst>
                <a:gd name="T0" fmla="*/ 0 w 1830"/>
                <a:gd name="T1" fmla="*/ 394 w 1830"/>
                <a:gd name="T2" fmla="*/ 394 w 183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1830">
                  <a:moveTo>
                    <a:pt x="0" y="0"/>
                  </a:moveTo>
                  <a:lnTo>
                    <a:pt x="1829" y="0"/>
                  </a:lnTo>
                  <a:lnTo>
                    <a:pt x="183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3" name="Freeform 568"/>
            <xdr:cNvSpPr>
              <a:spLocks noChangeAspect="1"/>
            </xdr:cNvSpPr>
          </xdr:nvSpPr>
          <xdr:spPr bwMode="auto">
            <a:xfrm>
              <a:off x="3480" y="1627"/>
              <a:ext cx="100" cy="106"/>
            </a:xfrm>
            <a:custGeom>
              <a:avLst/>
              <a:gdLst>
                <a:gd name="T0" fmla="*/ 35 w 282"/>
                <a:gd name="T1" fmla="*/ 44 h 255"/>
                <a:gd name="T2" fmla="*/ 33 w 282"/>
                <a:gd name="T3" fmla="*/ 30 h 255"/>
                <a:gd name="T4" fmla="*/ 28 w 282"/>
                <a:gd name="T5" fmla="*/ 18 h 255"/>
                <a:gd name="T6" fmla="*/ 20 w 282"/>
                <a:gd name="T7" fmla="*/ 8 h 255"/>
                <a:gd name="T8" fmla="*/ 10 w 282"/>
                <a:gd name="T9" fmla="*/ 2 h 255"/>
                <a:gd name="T10" fmla="*/ 0 w 282"/>
                <a:gd name="T11" fmla="*/ 0 h 255"/>
                <a:gd name="T12" fmla="*/ 0 w 282"/>
                <a:gd name="T13" fmla="*/ 0 h 25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2" h="255">
                  <a:moveTo>
                    <a:pt x="282" y="255"/>
                  </a:moveTo>
                  <a:lnTo>
                    <a:pt x="263" y="175"/>
                  </a:lnTo>
                  <a:lnTo>
                    <a:pt x="220" y="103"/>
                  </a:lnTo>
                  <a:lnTo>
                    <a:pt x="158" y="48"/>
                  </a:lnTo>
                  <a:lnTo>
                    <a:pt x="82" y="1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4" name="Freeform 569"/>
            <xdr:cNvSpPr>
              <a:spLocks noChangeAspect="1"/>
            </xdr:cNvSpPr>
          </xdr:nvSpPr>
          <xdr:spPr bwMode="auto">
            <a:xfrm>
              <a:off x="3609" y="1987"/>
              <a:ext cx="5" cy="74"/>
            </a:xfrm>
            <a:custGeom>
              <a:avLst/>
              <a:gdLst>
                <a:gd name="T0" fmla="*/ 2 w 16"/>
                <a:gd name="T1" fmla="*/ 30 h 183"/>
                <a:gd name="T2" fmla="*/ 0 w 16"/>
                <a:gd name="T3" fmla="*/ 0 h 183"/>
                <a:gd name="T4" fmla="*/ 0 w 16"/>
                <a:gd name="T5" fmla="*/ 0 h 183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6" h="183">
                  <a:moveTo>
                    <a:pt x="16" y="183"/>
                  </a:move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5" name="Freeform 570"/>
            <xdr:cNvSpPr>
              <a:spLocks noChangeAspect="1"/>
            </xdr:cNvSpPr>
          </xdr:nvSpPr>
          <xdr:spPr bwMode="auto">
            <a:xfrm>
              <a:off x="3603" y="1981"/>
              <a:ext cx="6" cy="6"/>
            </a:xfrm>
            <a:custGeom>
              <a:avLst/>
              <a:gdLst>
                <a:gd name="T0" fmla="*/ 3 w 11"/>
                <a:gd name="T1" fmla="*/ 3 h 13"/>
                <a:gd name="T2" fmla="*/ 2 w 11"/>
                <a:gd name="T3" fmla="*/ 1 h 13"/>
                <a:gd name="T4" fmla="*/ 0 w 11"/>
                <a:gd name="T5" fmla="*/ 0 h 13"/>
                <a:gd name="T6" fmla="*/ 1 w 11"/>
                <a:gd name="T7" fmla="*/ 0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13">
                  <a:moveTo>
                    <a:pt x="11" y="13"/>
                  </a:moveTo>
                  <a:lnTo>
                    <a:pt x="8" y="5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6" name="Freeform 571"/>
            <xdr:cNvSpPr>
              <a:spLocks noChangeAspect="1"/>
            </xdr:cNvSpPr>
          </xdr:nvSpPr>
          <xdr:spPr bwMode="auto">
            <a:xfrm>
              <a:off x="3600" y="1977"/>
              <a:ext cx="3" cy="4"/>
            </a:xfrm>
            <a:custGeom>
              <a:avLst/>
              <a:gdLst>
                <a:gd name="T0" fmla="*/ 0 w 11"/>
                <a:gd name="T1" fmla="*/ 0 h 12"/>
                <a:gd name="T2" fmla="*/ 0 w 11"/>
                <a:gd name="T3" fmla="*/ 1 h 12"/>
                <a:gd name="T4" fmla="*/ 1 w 11"/>
                <a:gd name="T5" fmla="*/ 1 h 12"/>
                <a:gd name="T6" fmla="*/ 1 w 11"/>
                <a:gd name="T7" fmla="*/ 1 h 12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12">
                  <a:moveTo>
                    <a:pt x="0" y="0"/>
                  </a:moveTo>
                  <a:lnTo>
                    <a:pt x="3" y="8"/>
                  </a:lnTo>
                  <a:lnTo>
                    <a:pt x="10" y="12"/>
                  </a:lnTo>
                  <a:lnTo>
                    <a:pt x="11" y="12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7" name="Freeform 572"/>
            <xdr:cNvSpPr>
              <a:spLocks noChangeAspect="1"/>
            </xdr:cNvSpPr>
          </xdr:nvSpPr>
          <xdr:spPr bwMode="auto">
            <a:xfrm>
              <a:off x="3580" y="1733"/>
              <a:ext cx="20" cy="244"/>
            </a:xfrm>
            <a:custGeom>
              <a:avLst/>
              <a:gdLst>
                <a:gd name="T0" fmla="*/ 7 w 54"/>
                <a:gd name="T1" fmla="*/ 99 h 602"/>
                <a:gd name="T2" fmla="*/ 0 w 54"/>
                <a:gd name="T3" fmla="*/ 0 h 602"/>
                <a:gd name="T4" fmla="*/ 0 w 54"/>
                <a:gd name="T5" fmla="*/ 0 h 60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602">
                  <a:moveTo>
                    <a:pt x="54" y="602"/>
                  </a:moveTo>
                  <a:lnTo>
                    <a:pt x="0" y="0"/>
                  </a:lnTo>
                  <a:lnTo>
                    <a:pt x="2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8" name="Freeform 573"/>
            <xdr:cNvSpPr>
              <a:spLocks noChangeAspect="1"/>
            </xdr:cNvSpPr>
          </xdr:nvSpPr>
          <xdr:spPr bwMode="auto">
            <a:xfrm>
              <a:off x="3549" y="2061"/>
              <a:ext cx="65" cy="834"/>
            </a:xfrm>
            <a:custGeom>
              <a:avLst/>
              <a:gdLst>
                <a:gd name="T0" fmla="*/ 23 w 180"/>
                <a:gd name="T1" fmla="*/ 0 h 2044"/>
                <a:gd name="T2" fmla="*/ 0 w 180"/>
                <a:gd name="T3" fmla="*/ 340 h 2044"/>
                <a:gd name="T4" fmla="*/ 0 w 180"/>
                <a:gd name="T5" fmla="*/ 340 h 2044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80" h="2044">
                  <a:moveTo>
                    <a:pt x="180" y="0"/>
                  </a:moveTo>
                  <a:lnTo>
                    <a:pt x="0" y="2044"/>
                  </a:lnTo>
                  <a:lnTo>
                    <a:pt x="1" y="2044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9" name="Freeform 574"/>
            <xdr:cNvSpPr>
              <a:spLocks noChangeAspect="1"/>
            </xdr:cNvSpPr>
          </xdr:nvSpPr>
          <xdr:spPr bwMode="auto">
            <a:xfrm>
              <a:off x="1115" y="1627"/>
              <a:ext cx="99" cy="106"/>
            </a:xfrm>
            <a:custGeom>
              <a:avLst/>
              <a:gdLst>
                <a:gd name="T0" fmla="*/ 35 w 282"/>
                <a:gd name="T1" fmla="*/ 0 h 255"/>
                <a:gd name="T2" fmla="*/ 25 w 282"/>
                <a:gd name="T3" fmla="*/ 2 h 255"/>
                <a:gd name="T4" fmla="*/ 15 w 282"/>
                <a:gd name="T5" fmla="*/ 8 h 255"/>
                <a:gd name="T6" fmla="*/ 8 w 282"/>
                <a:gd name="T7" fmla="*/ 18 h 255"/>
                <a:gd name="T8" fmla="*/ 2 w 282"/>
                <a:gd name="T9" fmla="*/ 30 h 255"/>
                <a:gd name="T10" fmla="*/ 0 w 282"/>
                <a:gd name="T11" fmla="*/ 44 h 255"/>
                <a:gd name="T12" fmla="*/ 0 w 282"/>
                <a:gd name="T13" fmla="*/ 44 h 25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2" h="255">
                  <a:moveTo>
                    <a:pt x="282" y="0"/>
                  </a:moveTo>
                  <a:lnTo>
                    <a:pt x="200" y="12"/>
                  </a:lnTo>
                  <a:lnTo>
                    <a:pt x="124" y="48"/>
                  </a:lnTo>
                  <a:lnTo>
                    <a:pt x="62" y="103"/>
                  </a:lnTo>
                  <a:lnTo>
                    <a:pt x="19" y="175"/>
                  </a:lnTo>
                  <a:lnTo>
                    <a:pt x="0" y="255"/>
                  </a:lnTo>
                  <a:lnTo>
                    <a:pt x="1" y="255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" name="Freeform 575"/>
            <xdr:cNvSpPr>
              <a:spLocks noChangeAspect="1"/>
            </xdr:cNvSpPr>
          </xdr:nvSpPr>
          <xdr:spPr bwMode="auto">
            <a:xfrm>
              <a:off x="1146" y="2895"/>
              <a:ext cx="100" cy="105"/>
            </a:xfrm>
            <a:custGeom>
              <a:avLst/>
              <a:gdLst>
                <a:gd name="T0" fmla="*/ 0 w 284"/>
                <a:gd name="T1" fmla="*/ 0 h 257"/>
                <a:gd name="T2" fmla="*/ 2 w 284"/>
                <a:gd name="T3" fmla="*/ 13 h 257"/>
                <a:gd name="T4" fmla="*/ 8 w 284"/>
                <a:gd name="T5" fmla="*/ 25 h 257"/>
                <a:gd name="T6" fmla="*/ 15 w 284"/>
                <a:gd name="T7" fmla="*/ 35 h 257"/>
                <a:gd name="T8" fmla="*/ 25 w 284"/>
                <a:gd name="T9" fmla="*/ 41 h 257"/>
                <a:gd name="T10" fmla="*/ 35 w 284"/>
                <a:gd name="T11" fmla="*/ 43 h 257"/>
                <a:gd name="T12" fmla="*/ 35 w 284"/>
                <a:gd name="T13" fmla="*/ 43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0"/>
                  </a:moveTo>
                  <a:lnTo>
                    <a:pt x="20" y="81"/>
                  </a:lnTo>
                  <a:lnTo>
                    <a:pt x="62" y="152"/>
                  </a:lnTo>
                  <a:lnTo>
                    <a:pt x="124" y="209"/>
                  </a:lnTo>
                  <a:lnTo>
                    <a:pt x="200" y="244"/>
                  </a:lnTo>
                  <a:lnTo>
                    <a:pt x="283" y="257"/>
                  </a:lnTo>
                  <a:lnTo>
                    <a:pt x="284" y="257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" name="Freeform 576"/>
            <xdr:cNvSpPr>
              <a:spLocks noChangeAspect="1"/>
            </xdr:cNvSpPr>
          </xdr:nvSpPr>
          <xdr:spPr bwMode="auto">
            <a:xfrm>
              <a:off x="1714" y="3131"/>
              <a:ext cx="28" cy="32"/>
            </a:xfrm>
            <a:custGeom>
              <a:avLst/>
              <a:gdLst>
                <a:gd name="T0" fmla="*/ 10 w 81"/>
                <a:gd name="T1" fmla="*/ 0 h 77"/>
                <a:gd name="T2" fmla="*/ 5 w 81"/>
                <a:gd name="T3" fmla="*/ 2 h 77"/>
                <a:gd name="T4" fmla="*/ 1 w 81"/>
                <a:gd name="T5" fmla="*/ 7 h 77"/>
                <a:gd name="T6" fmla="*/ 0 w 81"/>
                <a:gd name="T7" fmla="*/ 13 h 77"/>
                <a:gd name="T8" fmla="*/ 0 w 81"/>
                <a:gd name="T9" fmla="*/ 13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1" h="77">
                  <a:moveTo>
                    <a:pt x="81" y="0"/>
                  </a:moveTo>
                  <a:lnTo>
                    <a:pt x="42" y="12"/>
                  </a:lnTo>
                  <a:lnTo>
                    <a:pt x="13" y="39"/>
                  </a:lnTo>
                  <a:lnTo>
                    <a:pt x="0" y="77"/>
                  </a:lnTo>
                  <a:lnTo>
                    <a:pt x="1" y="7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" name="Freeform 577"/>
            <xdr:cNvSpPr>
              <a:spLocks noChangeAspect="1"/>
            </xdr:cNvSpPr>
          </xdr:nvSpPr>
          <xdr:spPr bwMode="auto">
            <a:xfrm>
              <a:off x="3366" y="3035"/>
              <a:ext cx="29" cy="35"/>
            </a:xfrm>
            <a:custGeom>
              <a:avLst/>
              <a:gdLst>
                <a:gd name="T0" fmla="*/ 0 w 83"/>
                <a:gd name="T1" fmla="*/ 14 h 85"/>
                <a:gd name="T2" fmla="*/ 5 w 83"/>
                <a:gd name="T3" fmla="*/ 12 h 85"/>
                <a:gd name="T4" fmla="*/ 9 w 83"/>
                <a:gd name="T5" fmla="*/ 7 h 85"/>
                <a:gd name="T6" fmla="*/ 10 w 83"/>
                <a:gd name="T7" fmla="*/ 0 h 85"/>
                <a:gd name="T8" fmla="*/ 10 w 83"/>
                <a:gd name="T9" fmla="*/ 0 h 8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3" h="85">
                  <a:moveTo>
                    <a:pt x="0" y="85"/>
                  </a:moveTo>
                  <a:lnTo>
                    <a:pt x="41" y="72"/>
                  </a:lnTo>
                  <a:lnTo>
                    <a:pt x="71" y="42"/>
                  </a:lnTo>
                  <a:lnTo>
                    <a:pt x="82" y="0"/>
                  </a:lnTo>
                  <a:lnTo>
                    <a:pt x="83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" name="Freeform 578"/>
            <xdr:cNvSpPr>
              <a:spLocks noChangeAspect="1"/>
            </xdr:cNvSpPr>
          </xdr:nvSpPr>
          <xdr:spPr bwMode="auto">
            <a:xfrm>
              <a:off x="1742" y="3070"/>
              <a:ext cx="1624" cy="61"/>
            </a:xfrm>
            <a:custGeom>
              <a:avLst/>
              <a:gdLst>
                <a:gd name="T0" fmla="*/ 580 w 4545"/>
                <a:gd name="T1" fmla="*/ 0 h 156"/>
                <a:gd name="T2" fmla="*/ 0 w 4545"/>
                <a:gd name="T3" fmla="*/ 24 h 156"/>
                <a:gd name="T4" fmla="*/ 0 w 4545"/>
                <a:gd name="T5" fmla="*/ 24 h 15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545" h="156">
                  <a:moveTo>
                    <a:pt x="4545" y="0"/>
                  </a:moveTo>
                  <a:lnTo>
                    <a:pt x="0" y="156"/>
                  </a:lnTo>
                  <a:lnTo>
                    <a:pt x="1" y="156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" name="Freeform 579"/>
            <xdr:cNvSpPr>
              <a:spLocks noChangeAspect="1"/>
            </xdr:cNvSpPr>
          </xdr:nvSpPr>
          <xdr:spPr bwMode="auto">
            <a:xfrm>
              <a:off x="3395" y="3000"/>
              <a:ext cx="31" cy="35"/>
            </a:xfrm>
            <a:custGeom>
              <a:avLst/>
              <a:gdLst>
                <a:gd name="T0" fmla="*/ 11 w 85"/>
                <a:gd name="T1" fmla="*/ 0 h 83"/>
                <a:gd name="T2" fmla="*/ 5 w 85"/>
                <a:gd name="T3" fmla="*/ 2 h 83"/>
                <a:gd name="T4" fmla="*/ 1 w 85"/>
                <a:gd name="T5" fmla="*/ 7 h 83"/>
                <a:gd name="T6" fmla="*/ 0 w 85"/>
                <a:gd name="T7" fmla="*/ 15 h 83"/>
                <a:gd name="T8" fmla="*/ 0 w 85"/>
                <a:gd name="T9" fmla="*/ 15 h 83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5" h="83">
                  <a:moveTo>
                    <a:pt x="85" y="0"/>
                  </a:moveTo>
                  <a:lnTo>
                    <a:pt x="42" y="10"/>
                  </a:lnTo>
                  <a:lnTo>
                    <a:pt x="11" y="41"/>
                  </a:lnTo>
                  <a:lnTo>
                    <a:pt x="0" y="83"/>
                  </a:lnTo>
                  <a:lnTo>
                    <a:pt x="1" y="83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" name="Freeform 580"/>
            <xdr:cNvSpPr>
              <a:spLocks noChangeAspect="1"/>
            </xdr:cNvSpPr>
          </xdr:nvSpPr>
          <xdr:spPr bwMode="auto">
            <a:xfrm>
              <a:off x="3426" y="3000"/>
              <a:ext cx="22" cy="0"/>
            </a:xfrm>
            <a:custGeom>
              <a:avLst/>
              <a:gdLst>
                <a:gd name="T0" fmla="*/ 0 w 62"/>
                <a:gd name="T1" fmla="*/ 8 w 62"/>
                <a:gd name="T2" fmla="*/ 8 w 6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62">
                  <a:moveTo>
                    <a:pt x="0" y="0"/>
                  </a:moveTo>
                  <a:lnTo>
                    <a:pt x="61" y="0"/>
                  </a:lnTo>
                  <a:lnTo>
                    <a:pt x="62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" name="Freeform 581"/>
            <xdr:cNvSpPr>
              <a:spLocks noChangeAspect="1"/>
            </xdr:cNvSpPr>
          </xdr:nvSpPr>
          <xdr:spPr bwMode="auto">
            <a:xfrm>
              <a:off x="1679" y="3198"/>
              <a:ext cx="32" cy="31"/>
            </a:xfrm>
            <a:custGeom>
              <a:avLst/>
              <a:gdLst>
                <a:gd name="T0" fmla="*/ 0 w 86"/>
                <a:gd name="T1" fmla="*/ 12 h 77"/>
                <a:gd name="T2" fmla="*/ 6 w 86"/>
                <a:gd name="T3" fmla="*/ 11 h 77"/>
                <a:gd name="T4" fmla="*/ 10 w 86"/>
                <a:gd name="T5" fmla="*/ 6 h 77"/>
                <a:gd name="T6" fmla="*/ 12 w 86"/>
                <a:gd name="T7" fmla="*/ 0 h 77"/>
                <a:gd name="T8" fmla="*/ 12 w 86"/>
                <a:gd name="T9" fmla="*/ 0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6" h="77">
                  <a:moveTo>
                    <a:pt x="0" y="77"/>
                  </a:moveTo>
                  <a:lnTo>
                    <a:pt x="40" y="67"/>
                  </a:lnTo>
                  <a:lnTo>
                    <a:pt x="70" y="39"/>
                  </a:lnTo>
                  <a:lnTo>
                    <a:pt x="85" y="0"/>
                  </a:lnTo>
                  <a:lnTo>
                    <a:pt x="86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" name="Freeform 582"/>
            <xdr:cNvSpPr>
              <a:spLocks noChangeAspect="1"/>
            </xdr:cNvSpPr>
          </xdr:nvSpPr>
          <xdr:spPr bwMode="auto">
            <a:xfrm>
              <a:off x="1300" y="3198"/>
              <a:ext cx="32" cy="31"/>
            </a:xfrm>
            <a:custGeom>
              <a:avLst/>
              <a:gdLst>
                <a:gd name="T0" fmla="*/ 0 w 85"/>
                <a:gd name="T1" fmla="*/ 0 h 77"/>
                <a:gd name="T2" fmla="*/ 2 w 85"/>
                <a:gd name="T3" fmla="*/ 6 h 77"/>
                <a:gd name="T4" fmla="*/ 6 w 85"/>
                <a:gd name="T5" fmla="*/ 11 h 77"/>
                <a:gd name="T6" fmla="*/ 12 w 85"/>
                <a:gd name="T7" fmla="*/ 12 h 77"/>
                <a:gd name="T8" fmla="*/ 12 w 85"/>
                <a:gd name="T9" fmla="*/ 12 h 7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5" h="77">
                  <a:moveTo>
                    <a:pt x="0" y="0"/>
                  </a:moveTo>
                  <a:lnTo>
                    <a:pt x="13" y="39"/>
                  </a:lnTo>
                  <a:lnTo>
                    <a:pt x="44" y="67"/>
                  </a:lnTo>
                  <a:lnTo>
                    <a:pt x="84" y="77"/>
                  </a:lnTo>
                  <a:lnTo>
                    <a:pt x="85" y="7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" name="Freeform 583"/>
            <xdr:cNvSpPr>
              <a:spLocks noChangeAspect="1"/>
            </xdr:cNvSpPr>
          </xdr:nvSpPr>
          <xdr:spPr bwMode="auto">
            <a:xfrm>
              <a:off x="1711" y="3163"/>
              <a:ext cx="3" cy="35"/>
            </a:xfrm>
            <a:custGeom>
              <a:avLst/>
              <a:gdLst>
                <a:gd name="T0" fmla="*/ 1 w 7"/>
                <a:gd name="T1" fmla="*/ 0 h 82"/>
                <a:gd name="T2" fmla="*/ 0 w 7"/>
                <a:gd name="T3" fmla="*/ 15 h 82"/>
                <a:gd name="T4" fmla="*/ 0 w 7"/>
                <a:gd name="T5" fmla="*/ 15 h 8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82">
                  <a:moveTo>
                    <a:pt x="7" y="0"/>
                  </a:moveTo>
                  <a:lnTo>
                    <a:pt x="0" y="82"/>
                  </a:lnTo>
                  <a:lnTo>
                    <a:pt x="1" y="82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" name="Freeform 584"/>
            <xdr:cNvSpPr>
              <a:spLocks noChangeAspect="1"/>
            </xdr:cNvSpPr>
          </xdr:nvSpPr>
          <xdr:spPr bwMode="auto">
            <a:xfrm>
              <a:off x="3448" y="2895"/>
              <a:ext cx="101" cy="105"/>
            </a:xfrm>
            <a:custGeom>
              <a:avLst/>
              <a:gdLst>
                <a:gd name="T0" fmla="*/ 0 w 284"/>
                <a:gd name="T1" fmla="*/ 43 h 257"/>
                <a:gd name="T2" fmla="*/ 11 w 284"/>
                <a:gd name="T3" fmla="*/ 41 h 257"/>
                <a:gd name="T4" fmla="*/ 20 w 284"/>
                <a:gd name="T5" fmla="*/ 35 h 257"/>
                <a:gd name="T6" fmla="*/ 28 w 284"/>
                <a:gd name="T7" fmla="*/ 25 h 257"/>
                <a:gd name="T8" fmla="*/ 33 w 284"/>
                <a:gd name="T9" fmla="*/ 13 h 257"/>
                <a:gd name="T10" fmla="*/ 36 w 284"/>
                <a:gd name="T11" fmla="*/ 0 h 257"/>
                <a:gd name="T12" fmla="*/ 36 w 284"/>
                <a:gd name="T13" fmla="*/ 0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257"/>
                  </a:moveTo>
                  <a:lnTo>
                    <a:pt x="83" y="244"/>
                  </a:lnTo>
                  <a:lnTo>
                    <a:pt x="159" y="209"/>
                  </a:lnTo>
                  <a:lnTo>
                    <a:pt x="221" y="152"/>
                  </a:lnTo>
                  <a:lnTo>
                    <a:pt x="263" y="81"/>
                  </a:lnTo>
                  <a:lnTo>
                    <a:pt x="283" y="0"/>
                  </a:lnTo>
                  <a:lnTo>
                    <a:pt x="284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" name="Freeform 585"/>
            <xdr:cNvSpPr>
              <a:spLocks noChangeAspect="1"/>
            </xdr:cNvSpPr>
          </xdr:nvSpPr>
          <xdr:spPr bwMode="auto">
            <a:xfrm>
              <a:off x="1241" y="3001"/>
              <a:ext cx="44" cy="31"/>
            </a:xfrm>
            <a:custGeom>
              <a:avLst/>
              <a:gdLst>
                <a:gd name="T0" fmla="*/ 23 w 84"/>
                <a:gd name="T1" fmla="*/ 13 h 76"/>
                <a:gd name="T2" fmla="*/ 19 w 84"/>
                <a:gd name="T3" fmla="*/ 6 h 76"/>
                <a:gd name="T4" fmla="*/ 11 w 84"/>
                <a:gd name="T5" fmla="*/ 2 h 76"/>
                <a:gd name="T6" fmla="*/ 0 w 84"/>
                <a:gd name="T7" fmla="*/ 0 h 76"/>
                <a:gd name="T8" fmla="*/ 1 w 84"/>
                <a:gd name="T9" fmla="*/ 0 h 7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4" h="76">
                  <a:moveTo>
                    <a:pt x="84" y="76"/>
                  </a:moveTo>
                  <a:lnTo>
                    <a:pt x="71" y="37"/>
                  </a:lnTo>
                  <a:lnTo>
                    <a:pt x="40" y="9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" name="Freeform 586"/>
            <xdr:cNvSpPr>
              <a:spLocks noChangeAspect="1"/>
            </xdr:cNvSpPr>
          </xdr:nvSpPr>
          <xdr:spPr bwMode="auto">
            <a:xfrm>
              <a:off x="1285" y="3032"/>
              <a:ext cx="15" cy="166"/>
            </a:xfrm>
            <a:custGeom>
              <a:avLst/>
              <a:gdLst>
                <a:gd name="T0" fmla="*/ 0 w 38"/>
                <a:gd name="T1" fmla="*/ 0 h 407"/>
                <a:gd name="T2" fmla="*/ 6 w 38"/>
                <a:gd name="T3" fmla="*/ 68 h 407"/>
                <a:gd name="T4" fmla="*/ 6 w 38"/>
                <a:gd name="T5" fmla="*/ 68 h 40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8" h="407">
                  <a:moveTo>
                    <a:pt x="0" y="0"/>
                  </a:moveTo>
                  <a:lnTo>
                    <a:pt x="37" y="407"/>
                  </a:lnTo>
                  <a:lnTo>
                    <a:pt x="38" y="40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" name="Freeform 587"/>
            <xdr:cNvSpPr>
              <a:spLocks noChangeAspect="1"/>
            </xdr:cNvSpPr>
          </xdr:nvSpPr>
          <xdr:spPr bwMode="auto">
            <a:xfrm>
              <a:off x="1332" y="3229"/>
              <a:ext cx="351" cy="0"/>
            </a:xfrm>
            <a:custGeom>
              <a:avLst/>
              <a:gdLst>
                <a:gd name="T0" fmla="*/ 0 w 980"/>
                <a:gd name="T1" fmla="*/ 126 w 980"/>
                <a:gd name="T2" fmla="*/ 126 w 980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980">
                  <a:moveTo>
                    <a:pt x="0" y="0"/>
                  </a:moveTo>
                  <a:lnTo>
                    <a:pt x="979" y="0"/>
                  </a:lnTo>
                  <a:lnTo>
                    <a:pt x="980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" name="Freeform 588"/>
            <xdr:cNvSpPr>
              <a:spLocks noChangeAspect="1"/>
            </xdr:cNvSpPr>
          </xdr:nvSpPr>
          <xdr:spPr bwMode="auto">
            <a:xfrm>
              <a:off x="1146" y="2895"/>
              <a:ext cx="100" cy="106"/>
            </a:xfrm>
            <a:custGeom>
              <a:avLst/>
              <a:gdLst>
                <a:gd name="T0" fmla="*/ 0 w 284"/>
                <a:gd name="T1" fmla="*/ 0 h 257"/>
                <a:gd name="T2" fmla="*/ 2 w 284"/>
                <a:gd name="T3" fmla="*/ 14 h 257"/>
                <a:gd name="T4" fmla="*/ 8 w 284"/>
                <a:gd name="T5" fmla="*/ 26 h 257"/>
                <a:gd name="T6" fmla="*/ 15 w 284"/>
                <a:gd name="T7" fmla="*/ 35 h 257"/>
                <a:gd name="T8" fmla="*/ 25 w 284"/>
                <a:gd name="T9" fmla="*/ 42 h 257"/>
                <a:gd name="T10" fmla="*/ 35 w 284"/>
                <a:gd name="T11" fmla="*/ 44 h 257"/>
                <a:gd name="T12" fmla="*/ 35 w 284"/>
                <a:gd name="T13" fmla="*/ 44 h 257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84" h="257">
                  <a:moveTo>
                    <a:pt x="0" y="0"/>
                  </a:moveTo>
                  <a:lnTo>
                    <a:pt x="20" y="81"/>
                  </a:lnTo>
                  <a:lnTo>
                    <a:pt x="62" y="152"/>
                  </a:lnTo>
                  <a:lnTo>
                    <a:pt x="124" y="209"/>
                  </a:lnTo>
                  <a:lnTo>
                    <a:pt x="200" y="244"/>
                  </a:lnTo>
                  <a:lnTo>
                    <a:pt x="283" y="257"/>
                  </a:lnTo>
                  <a:lnTo>
                    <a:pt x="284" y="257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124" name="Group 589"/>
            <xdr:cNvGrpSpPr>
              <a:grpSpLocks noChangeAspect="1"/>
            </xdr:cNvGrpSpPr>
          </xdr:nvGrpSpPr>
          <xdr:grpSpPr bwMode="auto">
            <a:xfrm>
              <a:off x="1080" y="1733"/>
              <a:ext cx="66" cy="1162"/>
              <a:chOff x="1529" y="1501"/>
              <a:chExt cx="70" cy="1239"/>
            </a:xfrm>
          </xdr:grpSpPr>
          <xdr:sp macro="" textlink="">
            <xdr:nvSpPr>
              <xdr:cNvPr id="221" name="Freeform 590"/>
              <xdr:cNvSpPr>
                <a:spLocks noChangeAspect="1"/>
              </xdr:cNvSpPr>
            </xdr:nvSpPr>
            <xdr:spPr bwMode="auto">
              <a:xfrm>
                <a:off x="1541" y="1762"/>
                <a:ext cx="3" cy="4"/>
              </a:xfrm>
              <a:custGeom>
                <a:avLst/>
                <a:gdLst>
                  <a:gd name="T0" fmla="*/ 0 w 12"/>
                  <a:gd name="T1" fmla="*/ 1 h 12"/>
                  <a:gd name="T2" fmla="*/ 1 w 12"/>
                  <a:gd name="T3" fmla="*/ 1 h 12"/>
                  <a:gd name="T4" fmla="*/ 1 w 12"/>
                  <a:gd name="T5" fmla="*/ 0 h 12"/>
                  <a:gd name="T6" fmla="*/ 1 w 12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2" h="12">
                    <a:moveTo>
                      <a:pt x="0" y="12"/>
                    </a:moveTo>
                    <a:lnTo>
                      <a:pt x="7" y="8"/>
                    </a:lnTo>
                    <a:lnTo>
                      <a:pt x="11" y="0"/>
                    </a:lnTo>
                    <a:lnTo>
                      <a:pt x="12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2" name="Freeform 591"/>
              <xdr:cNvSpPr>
                <a:spLocks noChangeAspect="1"/>
              </xdr:cNvSpPr>
            </xdr:nvSpPr>
            <xdr:spPr bwMode="auto">
              <a:xfrm>
                <a:off x="1535" y="1766"/>
                <a:ext cx="6" cy="6"/>
              </a:xfrm>
              <a:custGeom>
                <a:avLst/>
                <a:gdLst>
                  <a:gd name="T0" fmla="*/ 3 w 11"/>
                  <a:gd name="T1" fmla="*/ 0 h 13"/>
                  <a:gd name="T2" fmla="*/ 1 w 11"/>
                  <a:gd name="T3" fmla="*/ 1 h 13"/>
                  <a:gd name="T4" fmla="*/ 0 w 11"/>
                  <a:gd name="T5" fmla="*/ 3 h 13"/>
                  <a:gd name="T6" fmla="*/ 1 w 11"/>
                  <a:gd name="T7" fmla="*/ 3 h 1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1" h="13">
                    <a:moveTo>
                      <a:pt x="11" y="0"/>
                    </a:moveTo>
                    <a:lnTo>
                      <a:pt x="3" y="5"/>
                    </a:lnTo>
                    <a:lnTo>
                      <a:pt x="0" y="13"/>
                    </a:lnTo>
                    <a:lnTo>
                      <a:pt x="1" y="13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3" name="Freeform 592"/>
              <xdr:cNvSpPr>
                <a:spLocks noChangeAspect="1"/>
              </xdr:cNvSpPr>
            </xdr:nvSpPr>
            <xdr:spPr bwMode="auto">
              <a:xfrm>
                <a:off x="1529" y="1772"/>
                <a:ext cx="6" cy="79"/>
              </a:xfrm>
              <a:custGeom>
                <a:avLst/>
                <a:gdLst>
                  <a:gd name="T0" fmla="*/ 0 w 17"/>
                  <a:gd name="T1" fmla="*/ 34 h 183"/>
                  <a:gd name="T2" fmla="*/ 2 w 17"/>
                  <a:gd name="T3" fmla="*/ 0 h 183"/>
                  <a:gd name="T4" fmla="*/ 2 w 17"/>
                  <a:gd name="T5" fmla="*/ 0 h 18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7" h="183">
                    <a:moveTo>
                      <a:pt x="0" y="183"/>
                    </a:moveTo>
                    <a:lnTo>
                      <a:pt x="16" y="0"/>
                    </a:lnTo>
                    <a:lnTo>
                      <a:pt x="17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4" name="Freeform 593"/>
              <xdr:cNvSpPr>
                <a:spLocks noChangeAspect="1"/>
              </xdr:cNvSpPr>
            </xdr:nvSpPr>
            <xdr:spPr bwMode="auto">
              <a:xfrm>
                <a:off x="1544" y="1501"/>
                <a:ext cx="22" cy="261"/>
              </a:xfrm>
              <a:custGeom>
                <a:avLst/>
                <a:gdLst>
                  <a:gd name="T0" fmla="*/ 0 w 54"/>
                  <a:gd name="T1" fmla="*/ 113 h 602"/>
                  <a:gd name="T2" fmla="*/ 9 w 54"/>
                  <a:gd name="T3" fmla="*/ 0 h 602"/>
                  <a:gd name="T4" fmla="*/ 9 w 54"/>
                  <a:gd name="T5" fmla="*/ 0 h 60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54" h="602">
                    <a:moveTo>
                      <a:pt x="0" y="602"/>
                    </a:moveTo>
                    <a:lnTo>
                      <a:pt x="53" y="0"/>
                    </a:lnTo>
                    <a:lnTo>
                      <a:pt x="54" y="0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5" name="Freeform 594"/>
              <xdr:cNvSpPr>
                <a:spLocks noChangeAspect="1"/>
              </xdr:cNvSpPr>
            </xdr:nvSpPr>
            <xdr:spPr bwMode="auto">
              <a:xfrm>
                <a:off x="1529" y="1851"/>
                <a:ext cx="70" cy="889"/>
              </a:xfrm>
              <a:custGeom>
                <a:avLst/>
                <a:gdLst>
                  <a:gd name="T0" fmla="*/ 0 w 182"/>
                  <a:gd name="T1" fmla="*/ 0 h 2044"/>
                  <a:gd name="T2" fmla="*/ 27 w 182"/>
                  <a:gd name="T3" fmla="*/ 387 h 2044"/>
                  <a:gd name="T4" fmla="*/ 27 w 182"/>
                  <a:gd name="T5" fmla="*/ 387 h 20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82" h="2044">
                    <a:moveTo>
                      <a:pt x="0" y="0"/>
                    </a:moveTo>
                    <a:lnTo>
                      <a:pt x="180" y="2044"/>
                    </a:lnTo>
                    <a:lnTo>
                      <a:pt x="182" y="2044"/>
                    </a:lnTo>
                  </a:path>
                </a:pathLst>
              </a:custGeom>
              <a:noFill/>
              <a:ln w="38100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125" name="Group 595"/>
            <xdr:cNvGrpSpPr>
              <a:grpSpLocks noChangeAspect="1"/>
            </xdr:cNvGrpSpPr>
          </xdr:nvGrpSpPr>
          <xdr:grpSpPr bwMode="auto">
            <a:xfrm>
              <a:off x="1222" y="1613"/>
              <a:ext cx="89" cy="33"/>
              <a:chOff x="1681" y="1373"/>
              <a:chExt cx="95" cy="36"/>
            </a:xfrm>
          </xdr:grpSpPr>
          <xdr:sp macro="" textlink="">
            <xdr:nvSpPr>
              <xdr:cNvPr id="203" name="Freeform 596"/>
              <xdr:cNvSpPr>
                <a:spLocks noChangeAspect="1"/>
              </xdr:cNvSpPr>
            </xdr:nvSpPr>
            <xdr:spPr bwMode="auto">
              <a:xfrm>
                <a:off x="1681" y="1388"/>
                <a:ext cx="94" cy="0"/>
              </a:xfrm>
              <a:custGeom>
                <a:avLst/>
                <a:gdLst>
                  <a:gd name="T0" fmla="*/ 0 w 247"/>
                  <a:gd name="T1" fmla="*/ 36 w 247"/>
                  <a:gd name="T2" fmla="*/ 36 w 24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7">
                    <a:moveTo>
                      <a:pt x="0" y="0"/>
                    </a:moveTo>
                    <a:lnTo>
                      <a:pt x="246" y="0"/>
                    </a:lnTo>
                    <a:lnTo>
                      <a:pt x="2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4" name="Freeform 597"/>
              <xdr:cNvSpPr>
                <a:spLocks noChangeAspect="1"/>
              </xdr:cNvSpPr>
            </xdr:nvSpPr>
            <xdr:spPr bwMode="auto">
              <a:xfrm>
                <a:off x="1754" y="1373"/>
                <a:ext cx="0" cy="15"/>
              </a:xfrm>
              <a:custGeom>
                <a:avLst/>
                <a:gdLst>
                  <a:gd name="T0" fmla="*/ 0 w 1"/>
                  <a:gd name="T1" fmla="*/ 0 h 33"/>
                  <a:gd name="T2" fmla="*/ 0 w 1"/>
                  <a:gd name="T3" fmla="*/ 7 h 33"/>
                  <a:gd name="T4" fmla="*/ 1 w 1"/>
                  <a:gd name="T5" fmla="*/ 7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0"/>
                    </a:moveTo>
                    <a:lnTo>
                      <a:pt x="0" y="33"/>
                    </a:lnTo>
                    <a:lnTo>
                      <a:pt x="1" y="3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5" name="Freeform 598"/>
              <xdr:cNvSpPr>
                <a:spLocks noChangeAspect="1"/>
              </xdr:cNvSpPr>
            </xdr:nvSpPr>
            <xdr:spPr bwMode="auto">
              <a:xfrm>
                <a:off x="1775" y="1373"/>
                <a:ext cx="0" cy="15"/>
              </a:xfrm>
              <a:custGeom>
                <a:avLst/>
                <a:gdLst>
                  <a:gd name="T0" fmla="*/ 0 w 1"/>
                  <a:gd name="T1" fmla="*/ 7 h 33"/>
                  <a:gd name="T2" fmla="*/ 0 w 1"/>
                  <a:gd name="T3" fmla="*/ 0 h 33"/>
                  <a:gd name="T4" fmla="*/ 1 w 1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3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6" name="Freeform 599"/>
              <xdr:cNvSpPr>
                <a:spLocks noChangeAspect="1"/>
              </xdr:cNvSpPr>
            </xdr:nvSpPr>
            <xdr:spPr bwMode="auto">
              <a:xfrm>
                <a:off x="1681" y="1373"/>
                <a:ext cx="3" cy="15"/>
              </a:xfrm>
              <a:custGeom>
                <a:avLst/>
                <a:gdLst>
                  <a:gd name="T0" fmla="*/ 0 w 1"/>
                  <a:gd name="T1" fmla="*/ 7 h 33"/>
                  <a:gd name="T2" fmla="*/ 0 w 1"/>
                  <a:gd name="T3" fmla="*/ 0 h 33"/>
                  <a:gd name="T4" fmla="*/ 9 w 1"/>
                  <a:gd name="T5" fmla="*/ 0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3">
                    <a:moveTo>
                      <a:pt x="0" y="3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7" name="Freeform 600"/>
              <xdr:cNvSpPr>
                <a:spLocks noChangeAspect="1"/>
              </xdr:cNvSpPr>
            </xdr:nvSpPr>
            <xdr:spPr bwMode="auto">
              <a:xfrm>
                <a:off x="1702" y="1373"/>
                <a:ext cx="0" cy="15"/>
              </a:xfrm>
              <a:custGeom>
                <a:avLst/>
                <a:gdLst>
                  <a:gd name="T0" fmla="*/ 0 w 2"/>
                  <a:gd name="T1" fmla="*/ 0 h 33"/>
                  <a:gd name="T2" fmla="*/ 0 w 2"/>
                  <a:gd name="T3" fmla="*/ 7 h 33"/>
                  <a:gd name="T4" fmla="*/ 1 w 2"/>
                  <a:gd name="T5" fmla="*/ 7 h 3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33">
                    <a:moveTo>
                      <a:pt x="0" y="0"/>
                    </a:moveTo>
                    <a:lnTo>
                      <a:pt x="0" y="33"/>
                    </a:lnTo>
                    <a:lnTo>
                      <a:pt x="2" y="33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8" name="Freeform 601"/>
              <xdr:cNvSpPr>
                <a:spLocks noChangeAspect="1"/>
              </xdr:cNvSpPr>
            </xdr:nvSpPr>
            <xdr:spPr bwMode="auto">
              <a:xfrm>
                <a:off x="1681" y="1373"/>
                <a:ext cx="21" cy="0"/>
              </a:xfrm>
              <a:custGeom>
                <a:avLst/>
                <a:gdLst>
                  <a:gd name="T0" fmla="*/ 0 w 53"/>
                  <a:gd name="T1" fmla="*/ 8 w 53"/>
                  <a:gd name="T2" fmla="*/ 8 w 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3">
                    <a:moveTo>
                      <a:pt x="0" y="0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9" name="Freeform 602"/>
              <xdr:cNvSpPr>
                <a:spLocks noChangeAspect="1"/>
              </xdr:cNvSpPr>
            </xdr:nvSpPr>
            <xdr:spPr bwMode="auto">
              <a:xfrm>
                <a:off x="1757" y="1373"/>
                <a:ext cx="18" cy="0"/>
              </a:xfrm>
              <a:custGeom>
                <a:avLst/>
                <a:gdLst>
                  <a:gd name="T0" fmla="*/ 0 w 53"/>
                  <a:gd name="T1" fmla="*/ 6 w 53"/>
                  <a:gd name="T2" fmla="*/ 6 w 5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53">
                    <a:moveTo>
                      <a:pt x="0" y="0"/>
                    </a:moveTo>
                    <a:lnTo>
                      <a:pt x="52" y="0"/>
                    </a:lnTo>
                    <a:lnTo>
                      <a:pt x="5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0" name="Freeform 603"/>
              <xdr:cNvSpPr>
                <a:spLocks noChangeAspect="1"/>
              </xdr:cNvSpPr>
            </xdr:nvSpPr>
            <xdr:spPr bwMode="auto">
              <a:xfrm>
                <a:off x="1702" y="1373"/>
                <a:ext cx="55" cy="0"/>
              </a:xfrm>
              <a:custGeom>
                <a:avLst/>
                <a:gdLst>
                  <a:gd name="T0" fmla="*/ 0 w 143"/>
                  <a:gd name="T1" fmla="*/ 21 w 143"/>
                  <a:gd name="T2" fmla="*/ 21 w 14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43">
                    <a:moveTo>
                      <a:pt x="0" y="0"/>
                    </a:moveTo>
                    <a:lnTo>
                      <a:pt x="142" y="0"/>
                    </a:lnTo>
                    <a:lnTo>
                      <a:pt x="1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1" name="Freeform 604"/>
              <xdr:cNvSpPr>
                <a:spLocks noChangeAspect="1"/>
              </xdr:cNvSpPr>
            </xdr:nvSpPr>
            <xdr:spPr bwMode="auto">
              <a:xfrm>
                <a:off x="1776" y="1388"/>
                <a:ext cx="0" cy="15"/>
              </a:xfrm>
              <a:custGeom>
                <a:avLst/>
                <a:gdLst>
                  <a:gd name="T0" fmla="*/ 0 w 1"/>
                  <a:gd name="T1" fmla="*/ 0 h 32"/>
                  <a:gd name="T2" fmla="*/ 0 w 1"/>
                  <a:gd name="T3" fmla="*/ 7 h 32"/>
                  <a:gd name="T4" fmla="*/ 1 w 1"/>
                  <a:gd name="T5" fmla="*/ 7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0"/>
                    </a:moveTo>
                    <a:lnTo>
                      <a:pt x="0" y="32"/>
                    </a:lnTo>
                    <a:lnTo>
                      <a:pt x="1" y="3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2" name="Freeform 605"/>
              <xdr:cNvSpPr>
                <a:spLocks noChangeAspect="1"/>
              </xdr:cNvSpPr>
            </xdr:nvSpPr>
            <xdr:spPr bwMode="auto">
              <a:xfrm>
                <a:off x="1754" y="1388"/>
                <a:ext cx="0" cy="15"/>
              </a:xfrm>
              <a:custGeom>
                <a:avLst/>
                <a:gdLst>
                  <a:gd name="T0" fmla="*/ 0 w 1"/>
                  <a:gd name="T1" fmla="*/ 7 h 32"/>
                  <a:gd name="T2" fmla="*/ 0 w 1"/>
                  <a:gd name="T3" fmla="*/ 0 h 32"/>
                  <a:gd name="T4" fmla="*/ 1 w 1"/>
                  <a:gd name="T5" fmla="*/ 0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3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3" name="Freeform 606"/>
              <xdr:cNvSpPr>
                <a:spLocks noChangeAspect="1"/>
              </xdr:cNvSpPr>
            </xdr:nvSpPr>
            <xdr:spPr bwMode="auto">
              <a:xfrm>
                <a:off x="1757" y="1403"/>
                <a:ext cx="3" cy="6"/>
              </a:xfrm>
              <a:custGeom>
                <a:avLst/>
                <a:gdLst>
                  <a:gd name="T0" fmla="*/ 0 w 1"/>
                  <a:gd name="T1" fmla="*/ 0 h 19"/>
                  <a:gd name="T2" fmla="*/ 0 w 1"/>
                  <a:gd name="T3" fmla="*/ 2 h 19"/>
                  <a:gd name="T4" fmla="*/ 9 w 1"/>
                  <a:gd name="T5" fmla="*/ 2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">
                    <a:moveTo>
                      <a:pt x="0" y="0"/>
                    </a:moveTo>
                    <a:lnTo>
                      <a:pt x="0" y="19"/>
                    </a:lnTo>
                    <a:lnTo>
                      <a:pt x="1" y="19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4" name="Freeform 607"/>
              <xdr:cNvSpPr>
                <a:spLocks noChangeAspect="1"/>
              </xdr:cNvSpPr>
            </xdr:nvSpPr>
            <xdr:spPr bwMode="auto">
              <a:xfrm>
                <a:off x="1681" y="1388"/>
                <a:ext cx="3" cy="15"/>
              </a:xfrm>
              <a:custGeom>
                <a:avLst/>
                <a:gdLst>
                  <a:gd name="T0" fmla="*/ 0 w 1"/>
                  <a:gd name="T1" fmla="*/ 0 h 32"/>
                  <a:gd name="T2" fmla="*/ 0 w 1"/>
                  <a:gd name="T3" fmla="*/ 7 h 32"/>
                  <a:gd name="T4" fmla="*/ 9 w 1"/>
                  <a:gd name="T5" fmla="*/ 7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32">
                    <a:moveTo>
                      <a:pt x="0" y="0"/>
                    </a:moveTo>
                    <a:lnTo>
                      <a:pt x="0" y="32"/>
                    </a:lnTo>
                    <a:lnTo>
                      <a:pt x="1" y="3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5" name="Freeform 608"/>
              <xdr:cNvSpPr>
                <a:spLocks noChangeAspect="1"/>
              </xdr:cNvSpPr>
            </xdr:nvSpPr>
            <xdr:spPr bwMode="auto">
              <a:xfrm>
                <a:off x="1703" y="1388"/>
                <a:ext cx="0" cy="15"/>
              </a:xfrm>
              <a:custGeom>
                <a:avLst/>
                <a:gdLst>
                  <a:gd name="T0" fmla="*/ 0 w 2"/>
                  <a:gd name="T1" fmla="*/ 7 h 32"/>
                  <a:gd name="T2" fmla="*/ 0 w 2"/>
                  <a:gd name="T3" fmla="*/ 0 h 32"/>
                  <a:gd name="T4" fmla="*/ 1 w 2"/>
                  <a:gd name="T5" fmla="*/ 0 h 3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32">
                    <a:moveTo>
                      <a:pt x="0" y="32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6" name="Freeform 609"/>
              <xdr:cNvSpPr>
                <a:spLocks noChangeAspect="1"/>
              </xdr:cNvSpPr>
            </xdr:nvSpPr>
            <xdr:spPr bwMode="auto">
              <a:xfrm>
                <a:off x="1700" y="1403"/>
                <a:ext cx="0" cy="6"/>
              </a:xfrm>
              <a:custGeom>
                <a:avLst/>
                <a:gdLst>
                  <a:gd name="T0" fmla="*/ 0 w 1"/>
                  <a:gd name="T1" fmla="*/ 0 h 19"/>
                  <a:gd name="T2" fmla="*/ 0 w 1"/>
                  <a:gd name="T3" fmla="*/ 2 h 19"/>
                  <a:gd name="T4" fmla="*/ 1 w 1"/>
                  <a:gd name="T5" fmla="*/ 2 h 19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">
                    <a:moveTo>
                      <a:pt x="0" y="0"/>
                    </a:moveTo>
                    <a:lnTo>
                      <a:pt x="0" y="19"/>
                    </a:lnTo>
                    <a:lnTo>
                      <a:pt x="1" y="19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7" name="Freeform 610"/>
              <xdr:cNvSpPr>
                <a:spLocks noChangeAspect="1"/>
              </xdr:cNvSpPr>
            </xdr:nvSpPr>
            <xdr:spPr bwMode="auto">
              <a:xfrm>
                <a:off x="1681" y="1403"/>
                <a:ext cx="95" cy="0"/>
              </a:xfrm>
              <a:custGeom>
                <a:avLst/>
                <a:gdLst>
                  <a:gd name="T0" fmla="*/ 0 w 247"/>
                  <a:gd name="T1" fmla="*/ 37 w 247"/>
                  <a:gd name="T2" fmla="*/ 37 w 247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47">
                    <a:moveTo>
                      <a:pt x="0" y="0"/>
                    </a:moveTo>
                    <a:lnTo>
                      <a:pt x="246" y="0"/>
                    </a:lnTo>
                    <a:lnTo>
                      <a:pt x="247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8" name="Freeform 611"/>
              <xdr:cNvSpPr>
                <a:spLocks noChangeAspect="1"/>
              </xdr:cNvSpPr>
            </xdr:nvSpPr>
            <xdr:spPr bwMode="auto">
              <a:xfrm>
                <a:off x="1700" y="1409"/>
                <a:ext cx="3" cy="0"/>
              </a:xfrm>
              <a:custGeom>
                <a:avLst/>
                <a:gdLst>
                  <a:gd name="T0" fmla="*/ 0 w 8"/>
                  <a:gd name="T1" fmla="*/ 1 w 8"/>
                  <a:gd name="T2" fmla="*/ 1 w 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">
                    <a:moveTo>
                      <a:pt x="0" y="0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19" name="Freeform 612"/>
              <xdr:cNvSpPr>
                <a:spLocks noChangeAspect="1"/>
              </xdr:cNvSpPr>
            </xdr:nvSpPr>
            <xdr:spPr bwMode="auto">
              <a:xfrm>
                <a:off x="1757" y="1409"/>
                <a:ext cx="3" cy="0"/>
              </a:xfrm>
              <a:custGeom>
                <a:avLst/>
                <a:gdLst>
                  <a:gd name="T0" fmla="*/ 0 w 8"/>
                  <a:gd name="T1" fmla="*/ 1 w 8"/>
                  <a:gd name="T2" fmla="*/ 1 w 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8">
                    <a:moveTo>
                      <a:pt x="0" y="0"/>
                    </a:moveTo>
                    <a:lnTo>
                      <a:pt x="7" y="0"/>
                    </a:lnTo>
                    <a:lnTo>
                      <a:pt x="8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20" name="Freeform 613"/>
              <xdr:cNvSpPr>
                <a:spLocks noChangeAspect="1"/>
              </xdr:cNvSpPr>
            </xdr:nvSpPr>
            <xdr:spPr bwMode="auto">
              <a:xfrm>
                <a:off x="1703" y="1409"/>
                <a:ext cx="54" cy="0"/>
              </a:xfrm>
              <a:custGeom>
                <a:avLst/>
                <a:gdLst>
                  <a:gd name="T0" fmla="*/ 0 w 143"/>
                  <a:gd name="T1" fmla="*/ 20 w 143"/>
                  <a:gd name="T2" fmla="*/ 20 w 143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43">
                    <a:moveTo>
                      <a:pt x="0" y="0"/>
                    </a:moveTo>
                    <a:lnTo>
                      <a:pt x="142" y="0"/>
                    </a:lnTo>
                    <a:lnTo>
                      <a:pt x="14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126" name="Freeform 614"/>
            <xdr:cNvSpPr>
              <a:spLocks noChangeAspect="1"/>
            </xdr:cNvSpPr>
          </xdr:nvSpPr>
          <xdr:spPr bwMode="auto">
            <a:xfrm>
              <a:off x="2600" y="1627"/>
              <a:ext cx="874" cy="0"/>
            </a:xfrm>
            <a:custGeom>
              <a:avLst/>
              <a:gdLst>
                <a:gd name="T0" fmla="*/ 0 w 2273"/>
                <a:gd name="T1" fmla="*/ 336 w 2273"/>
                <a:gd name="T2" fmla="*/ 336 w 2273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T0" y="0"/>
                </a:cxn>
                <a:cxn ang="T4">
                  <a:pos x="T1" y="0"/>
                </a:cxn>
                <a:cxn ang="T5">
                  <a:pos x="T2" y="0"/>
                </a:cxn>
              </a:cxnLst>
              <a:rect l="0" t="0" r="r" b="b"/>
              <a:pathLst>
                <a:path w="2273">
                  <a:moveTo>
                    <a:pt x="0" y="0"/>
                  </a:moveTo>
                  <a:lnTo>
                    <a:pt x="2272" y="0"/>
                  </a:lnTo>
                  <a:lnTo>
                    <a:pt x="2273" y="0"/>
                  </a:lnTo>
                </a:path>
              </a:pathLst>
            </a:custGeom>
            <a:noFill/>
            <a:ln w="38100" cmpd="sng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127" name="Group 615"/>
            <xdr:cNvGrpSpPr>
              <a:grpSpLocks noChangeAspect="1"/>
            </xdr:cNvGrpSpPr>
          </xdr:nvGrpSpPr>
          <xdr:grpSpPr bwMode="auto">
            <a:xfrm>
              <a:off x="1213" y="3281"/>
              <a:ext cx="87" cy="217"/>
              <a:chOff x="1358" y="2299"/>
              <a:chExt cx="42" cy="105"/>
            </a:xfrm>
          </xdr:grpSpPr>
          <xdr:grpSp>
            <xdr:nvGrpSpPr>
              <xdr:cNvPr id="136" name="Group 616"/>
              <xdr:cNvGrpSpPr>
                <a:grpSpLocks noChangeAspect="1"/>
              </xdr:cNvGrpSpPr>
            </xdr:nvGrpSpPr>
            <xdr:grpSpPr bwMode="auto">
              <a:xfrm>
                <a:off x="1358" y="2362"/>
                <a:ext cx="41" cy="42"/>
                <a:chOff x="1358" y="2465"/>
                <a:chExt cx="41" cy="42"/>
              </a:xfrm>
            </xdr:grpSpPr>
            <xdr:sp macro="" textlink="">
              <xdr:nvSpPr>
                <xdr:cNvPr id="182" name="Freeform 617"/>
                <xdr:cNvSpPr>
                  <a:spLocks noChangeAspect="1"/>
                </xdr:cNvSpPr>
              </xdr:nvSpPr>
              <xdr:spPr bwMode="auto">
                <a:xfrm>
                  <a:off x="1360" y="2465"/>
                  <a:ext cx="37" cy="0"/>
                </a:xfrm>
                <a:custGeom>
                  <a:avLst/>
                  <a:gdLst>
                    <a:gd name="T0" fmla="*/ 5 w 300"/>
                    <a:gd name="T1" fmla="*/ 0 w 300"/>
                    <a:gd name="T2" fmla="*/ 0 w 300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300">
                      <a:moveTo>
                        <a:pt x="300" y="0"/>
                      </a:move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3" name="Freeform 618"/>
                <xdr:cNvSpPr>
                  <a:spLocks noChangeAspect="1"/>
                </xdr:cNvSpPr>
              </xdr:nvSpPr>
              <xdr:spPr bwMode="auto">
                <a:xfrm>
                  <a:off x="1367" y="2507"/>
                  <a:ext cx="23" cy="0"/>
                </a:xfrm>
                <a:custGeom>
                  <a:avLst/>
                  <a:gdLst>
                    <a:gd name="T0" fmla="*/ 3 w 181"/>
                    <a:gd name="T1" fmla="*/ 0 w 181"/>
                    <a:gd name="T2" fmla="*/ 0 w 181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181">
                      <a:moveTo>
                        <a:pt x="181" y="0"/>
                      </a:moveTo>
                      <a:lnTo>
                        <a:pt x="0" y="0"/>
                      </a:lnTo>
                      <a:lnTo>
                        <a:pt x="2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4" name="Freeform 619"/>
                <xdr:cNvSpPr>
                  <a:spLocks noChangeAspect="1"/>
                </xdr:cNvSpPr>
              </xdr:nvSpPr>
              <xdr:spPr bwMode="auto">
                <a:xfrm>
                  <a:off x="1390" y="2502"/>
                  <a:ext cx="5" cy="5"/>
                </a:xfrm>
                <a:custGeom>
                  <a:avLst/>
                  <a:gdLst>
                    <a:gd name="T0" fmla="*/ 0 w 39"/>
                    <a:gd name="T1" fmla="*/ 1 h 37"/>
                    <a:gd name="T2" fmla="*/ 0 w 39"/>
                    <a:gd name="T3" fmla="*/ 1 h 37"/>
                    <a:gd name="T4" fmla="*/ 1 w 39"/>
                    <a:gd name="T5" fmla="*/ 0 h 37"/>
                    <a:gd name="T6" fmla="*/ 1 w 39"/>
                    <a:gd name="T7" fmla="*/ 0 h 37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39" h="37">
                      <a:moveTo>
                        <a:pt x="0" y="37"/>
                      </a:moveTo>
                      <a:lnTo>
                        <a:pt x="27" y="27"/>
                      </a:lnTo>
                      <a:lnTo>
                        <a:pt x="38" y="0"/>
                      </a:lnTo>
                      <a:lnTo>
                        <a:pt x="39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5" name="Freeform 620"/>
                <xdr:cNvSpPr>
                  <a:spLocks noChangeAspect="1"/>
                </xdr:cNvSpPr>
              </xdr:nvSpPr>
              <xdr:spPr bwMode="auto">
                <a:xfrm>
                  <a:off x="1395" y="2477"/>
                  <a:ext cx="0" cy="25"/>
                </a:xfrm>
                <a:custGeom>
                  <a:avLst/>
                  <a:gdLst>
                    <a:gd name="T0" fmla="*/ 0 w 1"/>
                    <a:gd name="T1" fmla="*/ 0 h 172"/>
                    <a:gd name="T2" fmla="*/ 0 w 1"/>
                    <a:gd name="T3" fmla="*/ 4 h 172"/>
                    <a:gd name="T4" fmla="*/ 1 w 1"/>
                    <a:gd name="T5" fmla="*/ 4 h 1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172">
                      <a:moveTo>
                        <a:pt x="0" y="0"/>
                      </a:moveTo>
                      <a:lnTo>
                        <a:pt x="0" y="172"/>
                      </a:lnTo>
                      <a:lnTo>
                        <a:pt x="1" y="1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6" name="Freeform 621"/>
                <xdr:cNvSpPr>
                  <a:spLocks noChangeAspect="1"/>
                </xdr:cNvSpPr>
              </xdr:nvSpPr>
              <xdr:spPr bwMode="auto">
                <a:xfrm>
                  <a:off x="1399" y="2467"/>
                  <a:ext cx="0" cy="6"/>
                </a:xfrm>
                <a:custGeom>
                  <a:avLst/>
                  <a:gdLst>
                    <a:gd name="T0" fmla="*/ 0 w 1"/>
                    <a:gd name="T1" fmla="*/ 0 h 48"/>
                    <a:gd name="T2" fmla="*/ 0 w 1"/>
                    <a:gd name="T3" fmla="*/ 1 h 48"/>
                    <a:gd name="T4" fmla="*/ 1 w 1"/>
                    <a:gd name="T5" fmla="*/ 1 h 48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48">
                      <a:moveTo>
                        <a:pt x="0" y="0"/>
                      </a:moveTo>
                      <a:lnTo>
                        <a:pt x="0" y="48"/>
                      </a:lnTo>
                      <a:lnTo>
                        <a:pt x="1" y="48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7" name="Freeform 622"/>
                <xdr:cNvSpPr>
                  <a:spLocks noChangeAspect="1"/>
                </xdr:cNvSpPr>
              </xdr:nvSpPr>
              <xdr:spPr bwMode="auto">
                <a:xfrm>
                  <a:off x="1395" y="2475"/>
                  <a:ext cx="1" cy="2"/>
                </a:xfrm>
                <a:custGeom>
                  <a:avLst/>
                  <a:gdLst>
                    <a:gd name="T0" fmla="*/ 0 w 13"/>
                    <a:gd name="T1" fmla="*/ 0 h 13"/>
                    <a:gd name="T2" fmla="*/ 0 w 13"/>
                    <a:gd name="T3" fmla="*/ 0 h 13"/>
                    <a:gd name="T4" fmla="*/ 0 w 13"/>
                    <a:gd name="T5" fmla="*/ 0 h 13"/>
                    <a:gd name="T6" fmla="*/ 0 w 13"/>
                    <a:gd name="T7" fmla="*/ 0 h 1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3">
                      <a:moveTo>
                        <a:pt x="13" y="0"/>
                      </a:moveTo>
                      <a:lnTo>
                        <a:pt x="4" y="4"/>
                      </a:lnTo>
                      <a:lnTo>
                        <a:pt x="0" y="13"/>
                      </a:lnTo>
                      <a:lnTo>
                        <a:pt x="1" y="13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8" name="Freeform 623"/>
                <xdr:cNvSpPr>
                  <a:spLocks noChangeAspect="1"/>
                </xdr:cNvSpPr>
              </xdr:nvSpPr>
              <xdr:spPr bwMode="auto">
                <a:xfrm>
                  <a:off x="1397" y="2473"/>
                  <a:ext cx="2" cy="2"/>
                </a:xfrm>
                <a:custGeom>
                  <a:avLst/>
                  <a:gdLst>
                    <a:gd name="T0" fmla="*/ 0 w 13"/>
                    <a:gd name="T1" fmla="*/ 0 h 12"/>
                    <a:gd name="T2" fmla="*/ 0 w 13"/>
                    <a:gd name="T3" fmla="*/ 0 h 12"/>
                    <a:gd name="T4" fmla="*/ 0 w 13"/>
                    <a:gd name="T5" fmla="*/ 0 h 12"/>
                    <a:gd name="T6" fmla="*/ 0 w 13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2">
                      <a:moveTo>
                        <a:pt x="0" y="12"/>
                      </a:moveTo>
                      <a:lnTo>
                        <a:pt x="8" y="8"/>
                      </a:lnTo>
                      <a:lnTo>
                        <a:pt x="12" y="0"/>
                      </a:lnTo>
                      <a:lnTo>
                        <a:pt x="13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9" name="Freeform 624"/>
                <xdr:cNvSpPr>
                  <a:spLocks noChangeAspect="1"/>
                </xdr:cNvSpPr>
              </xdr:nvSpPr>
              <xdr:spPr bwMode="auto">
                <a:xfrm>
                  <a:off x="1358" y="2473"/>
                  <a:ext cx="2" cy="2"/>
                </a:xfrm>
                <a:custGeom>
                  <a:avLst/>
                  <a:gdLst>
                    <a:gd name="T0" fmla="*/ 0 w 13"/>
                    <a:gd name="T1" fmla="*/ 0 h 12"/>
                    <a:gd name="T2" fmla="*/ 0 w 13"/>
                    <a:gd name="T3" fmla="*/ 0 h 12"/>
                    <a:gd name="T4" fmla="*/ 0 w 13"/>
                    <a:gd name="T5" fmla="*/ 0 h 12"/>
                    <a:gd name="T6" fmla="*/ 0 w 13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2">
                      <a:moveTo>
                        <a:pt x="0" y="0"/>
                      </a:moveTo>
                      <a:lnTo>
                        <a:pt x="3" y="8"/>
                      </a:lnTo>
                      <a:lnTo>
                        <a:pt x="12" y="12"/>
                      </a:lnTo>
                      <a:lnTo>
                        <a:pt x="13" y="1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" name="Freeform 625"/>
                <xdr:cNvSpPr>
                  <a:spLocks noChangeAspect="1"/>
                </xdr:cNvSpPr>
              </xdr:nvSpPr>
              <xdr:spPr bwMode="auto">
                <a:xfrm>
                  <a:off x="1358" y="2467"/>
                  <a:ext cx="0" cy="6"/>
                </a:xfrm>
                <a:custGeom>
                  <a:avLst/>
                  <a:gdLst>
                    <a:gd name="T0" fmla="*/ 0 w 1"/>
                    <a:gd name="T1" fmla="*/ 0 h 48"/>
                    <a:gd name="T2" fmla="*/ 0 w 1"/>
                    <a:gd name="T3" fmla="*/ 1 h 48"/>
                    <a:gd name="T4" fmla="*/ 1 w 1"/>
                    <a:gd name="T5" fmla="*/ 1 h 48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48">
                      <a:moveTo>
                        <a:pt x="0" y="0"/>
                      </a:moveTo>
                      <a:lnTo>
                        <a:pt x="0" y="48"/>
                      </a:lnTo>
                      <a:lnTo>
                        <a:pt x="1" y="48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1" name="Freeform 626"/>
                <xdr:cNvSpPr>
                  <a:spLocks noChangeAspect="1"/>
                </xdr:cNvSpPr>
              </xdr:nvSpPr>
              <xdr:spPr bwMode="auto">
                <a:xfrm>
                  <a:off x="1362" y="2477"/>
                  <a:ext cx="1" cy="25"/>
                </a:xfrm>
                <a:custGeom>
                  <a:avLst/>
                  <a:gdLst>
                    <a:gd name="T0" fmla="*/ 0 w 1"/>
                    <a:gd name="T1" fmla="*/ 0 h 172"/>
                    <a:gd name="T2" fmla="*/ 0 w 1"/>
                    <a:gd name="T3" fmla="*/ 4 h 172"/>
                    <a:gd name="T4" fmla="*/ 1 w 1"/>
                    <a:gd name="T5" fmla="*/ 4 h 1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172">
                      <a:moveTo>
                        <a:pt x="0" y="0"/>
                      </a:moveTo>
                      <a:lnTo>
                        <a:pt x="0" y="172"/>
                      </a:lnTo>
                      <a:lnTo>
                        <a:pt x="1" y="1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2" name="Freeform 627"/>
                <xdr:cNvSpPr>
                  <a:spLocks noChangeAspect="1"/>
                </xdr:cNvSpPr>
              </xdr:nvSpPr>
              <xdr:spPr bwMode="auto">
                <a:xfrm>
                  <a:off x="1361" y="2475"/>
                  <a:ext cx="1" cy="2"/>
                </a:xfrm>
                <a:custGeom>
                  <a:avLst/>
                  <a:gdLst>
                    <a:gd name="T0" fmla="*/ 0 w 13"/>
                    <a:gd name="T1" fmla="*/ 0 h 13"/>
                    <a:gd name="T2" fmla="*/ 0 w 13"/>
                    <a:gd name="T3" fmla="*/ 0 h 13"/>
                    <a:gd name="T4" fmla="*/ 0 w 13"/>
                    <a:gd name="T5" fmla="*/ 0 h 13"/>
                    <a:gd name="T6" fmla="*/ 0 w 13"/>
                    <a:gd name="T7" fmla="*/ 0 h 1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3" h="13">
                      <a:moveTo>
                        <a:pt x="13" y="13"/>
                      </a:moveTo>
                      <a:lnTo>
                        <a:pt x="8" y="4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3" name="Freeform 628"/>
                <xdr:cNvSpPr>
                  <a:spLocks noChangeAspect="1"/>
                </xdr:cNvSpPr>
              </xdr:nvSpPr>
              <xdr:spPr bwMode="auto">
                <a:xfrm>
                  <a:off x="1360" y="2475"/>
                  <a:ext cx="37" cy="0"/>
                </a:xfrm>
                <a:custGeom>
                  <a:avLst/>
                  <a:gdLst>
                    <a:gd name="T0" fmla="*/ 5 w 300"/>
                    <a:gd name="T1" fmla="*/ 0 w 300"/>
                    <a:gd name="T2" fmla="*/ 0 w 300"/>
                    <a:gd name="T3" fmla="*/ 0 60000 65536"/>
                    <a:gd name="T4" fmla="*/ 0 60000 65536"/>
                    <a:gd name="T5" fmla="*/ 0 60000 65536"/>
                  </a:gdLst>
                  <a:ahLst/>
                  <a:cxnLst>
                    <a:cxn ang="T3">
                      <a:pos x="T0" y="0"/>
                    </a:cxn>
                    <a:cxn ang="T4">
                      <a:pos x="T1" y="0"/>
                    </a:cxn>
                    <a:cxn ang="T5">
                      <a:pos x="T2" y="0"/>
                    </a:cxn>
                  </a:cxnLst>
                  <a:rect l="0" t="0" r="r" b="b"/>
                  <a:pathLst>
                    <a:path w="300">
                      <a:moveTo>
                        <a:pt x="300" y="0"/>
                      </a:move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4" name="Freeform 629"/>
                <xdr:cNvSpPr>
                  <a:spLocks noChangeAspect="1"/>
                </xdr:cNvSpPr>
              </xdr:nvSpPr>
              <xdr:spPr bwMode="auto">
                <a:xfrm>
                  <a:off x="1362" y="2502"/>
                  <a:ext cx="5" cy="5"/>
                </a:xfrm>
                <a:custGeom>
                  <a:avLst/>
                  <a:gdLst>
                    <a:gd name="T0" fmla="*/ 0 w 39"/>
                    <a:gd name="T1" fmla="*/ 0 h 37"/>
                    <a:gd name="T2" fmla="*/ 0 w 39"/>
                    <a:gd name="T3" fmla="*/ 1 h 37"/>
                    <a:gd name="T4" fmla="*/ 1 w 39"/>
                    <a:gd name="T5" fmla="*/ 1 h 37"/>
                    <a:gd name="T6" fmla="*/ 1 w 39"/>
                    <a:gd name="T7" fmla="*/ 1 h 37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39" h="37">
                      <a:moveTo>
                        <a:pt x="0" y="0"/>
                      </a:moveTo>
                      <a:lnTo>
                        <a:pt x="10" y="27"/>
                      </a:lnTo>
                      <a:lnTo>
                        <a:pt x="37" y="37"/>
                      </a:lnTo>
                      <a:lnTo>
                        <a:pt x="39" y="37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5" name="Freeform 630"/>
                <xdr:cNvSpPr>
                  <a:spLocks noChangeAspect="1"/>
                </xdr:cNvSpPr>
              </xdr:nvSpPr>
              <xdr:spPr bwMode="auto">
                <a:xfrm>
                  <a:off x="1358" y="2465"/>
                  <a:ext cx="2" cy="2"/>
                </a:xfrm>
                <a:custGeom>
                  <a:avLst/>
                  <a:gdLst>
                    <a:gd name="T0" fmla="*/ 0 w 12"/>
                    <a:gd name="T1" fmla="*/ 0 h 12"/>
                    <a:gd name="T2" fmla="*/ 0 w 12"/>
                    <a:gd name="T3" fmla="*/ 0 h 12"/>
                    <a:gd name="T4" fmla="*/ 0 w 12"/>
                    <a:gd name="T5" fmla="*/ 0 h 12"/>
                    <a:gd name="T6" fmla="*/ 0 w 12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2" h="12">
                      <a:moveTo>
                        <a:pt x="12" y="0"/>
                      </a:moveTo>
                      <a:lnTo>
                        <a:pt x="3" y="3"/>
                      </a:lnTo>
                      <a:lnTo>
                        <a:pt x="0" y="12"/>
                      </a:lnTo>
                      <a:lnTo>
                        <a:pt x="1" y="1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6" name="Freeform 631"/>
                <xdr:cNvSpPr>
                  <a:spLocks noChangeAspect="1"/>
                </xdr:cNvSpPr>
              </xdr:nvSpPr>
              <xdr:spPr bwMode="auto">
                <a:xfrm>
                  <a:off x="1367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7" name="Freeform 632"/>
                <xdr:cNvSpPr>
                  <a:spLocks noChangeAspect="1"/>
                </xdr:cNvSpPr>
              </xdr:nvSpPr>
              <xdr:spPr bwMode="auto">
                <a:xfrm>
                  <a:off x="1364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" name="Freeform 633"/>
                <xdr:cNvSpPr>
                  <a:spLocks noChangeAspect="1"/>
                </xdr:cNvSpPr>
              </xdr:nvSpPr>
              <xdr:spPr bwMode="auto">
                <a:xfrm>
                  <a:off x="1377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" name="Freeform 634"/>
                <xdr:cNvSpPr>
                  <a:spLocks noChangeAspect="1"/>
                </xdr:cNvSpPr>
              </xdr:nvSpPr>
              <xdr:spPr bwMode="auto">
                <a:xfrm>
                  <a:off x="1380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0" name="Freeform 635"/>
                <xdr:cNvSpPr>
                  <a:spLocks noChangeAspect="1"/>
                </xdr:cNvSpPr>
              </xdr:nvSpPr>
              <xdr:spPr bwMode="auto">
                <a:xfrm>
                  <a:off x="1390" y="2465"/>
                  <a:ext cx="0" cy="10"/>
                </a:xfrm>
                <a:custGeom>
                  <a:avLst/>
                  <a:gdLst>
                    <a:gd name="T0" fmla="*/ 0 w 1"/>
                    <a:gd name="T1" fmla="*/ 0 h 72"/>
                    <a:gd name="T2" fmla="*/ 0 w 1"/>
                    <a:gd name="T3" fmla="*/ 1 h 72"/>
                    <a:gd name="T4" fmla="*/ 1 w 1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1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1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1" name="Freeform 636"/>
                <xdr:cNvSpPr>
                  <a:spLocks noChangeAspect="1"/>
                </xdr:cNvSpPr>
              </xdr:nvSpPr>
              <xdr:spPr bwMode="auto">
                <a:xfrm>
                  <a:off x="1393" y="2465"/>
                  <a:ext cx="0" cy="10"/>
                </a:xfrm>
                <a:custGeom>
                  <a:avLst/>
                  <a:gdLst>
                    <a:gd name="T0" fmla="*/ 0 w 2"/>
                    <a:gd name="T1" fmla="*/ 0 h 72"/>
                    <a:gd name="T2" fmla="*/ 0 w 2"/>
                    <a:gd name="T3" fmla="*/ 1 h 72"/>
                    <a:gd name="T4" fmla="*/ 1 w 2"/>
                    <a:gd name="T5" fmla="*/ 1 h 72"/>
                    <a:gd name="T6" fmla="*/ 0 60000 65536"/>
                    <a:gd name="T7" fmla="*/ 0 60000 65536"/>
                    <a:gd name="T8" fmla="*/ 0 60000 65536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0" t="0" r="r" b="b"/>
                  <a:pathLst>
                    <a:path w="2" h="72">
                      <a:moveTo>
                        <a:pt x="0" y="0"/>
                      </a:moveTo>
                      <a:lnTo>
                        <a:pt x="0" y="72"/>
                      </a:lnTo>
                      <a:lnTo>
                        <a:pt x="2" y="72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02" name="Freeform 637"/>
                <xdr:cNvSpPr>
                  <a:spLocks noChangeAspect="1"/>
                </xdr:cNvSpPr>
              </xdr:nvSpPr>
              <xdr:spPr bwMode="auto">
                <a:xfrm>
                  <a:off x="1397" y="2465"/>
                  <a:ext cx="2" cy="2"/>
                </a:xfrm>
                <a:custGeom>
                  <a:avLst/>
                  <a:gdLst>
                    <a:gd name="T0" fmla="*/ 0 w 12"/>
                    <a:gd name="T1" fmla="*/ 0 h 12"/>
                    <a:gd name="T2" fmla="*/ 0 w 12"/>
                    <a:gd name="T3" fmla="*/ 0 h 12"/>
                    <a:gd name="T4" fmla="*/ 0 w 12"/>
                    <a:gd name="T5" fmla="*/ 0 h 12"/>
                    <a:gd name="T6" fmla="*/ 0 w 12"/>
                    <a:gd name="T7" fmla="*/ 0 h 12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2" h="12">
                      <a:moveTo>
                        <a:pt x="12" y="12"/>
                      </a:moveTo>
                      <a:lnTo>
                        <a:pt x="8" y="3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00000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sp macro="" textlink="">
            <xdr:nvSpPr>
              <xdr:cNvPr id="137" name="Freeform 638"/>
              <xdr:cNvSpPr>
                <a:spLocks noChangeAspect="1"/>
              </xdr:cNvSpPr>
            </xdr:nvSpPr>
            <xdr:spPr bwMode="auto">
              <a:xfrm>
                <a:off x="1368" y="2300"/>
                <a:ext cx="21" cy="0"/>
              </a:xfrm>
              <a:custGeom>
                <a:avLst/>
                <a:gdLst>
                  <a:gd name="T0" fmla="*/ 3 w 166"/>
                  <a:gd name="T1" fmla="*/ 0 w 166"/>
                  <a:gd name="T2" fmla="*/ 0 w 16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66">
                    <a:moveTo>
                      <a:pt x="16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38" name="Freeform 639"/>
              <xdr:cNvSpPr>
                <a:spLocks noChangeAspect="1"/>
              </xdr:cNvSpPr>
            </xdr:nvSpPr>
            <xdr:spPr bwMode="auto">
              <a:xfrm>
                <a:off x="1368" y="2306"/>
                <a:ext cx="21" cy="0"/>
              </a:xfrm>
              <a:custGeom>
                <a:avLst/>
                <a:gdLst>
                  <a:gd name="T0" fmla="*/ 3 w 166"/>
                  <a:gd name="T1" fmla="*/ 0 w 166"/>
                  <a:gd name="T2" fmla="*/ 0 w 16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66">
                    <a:moveTo>
                      <a:pt x="166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39" name="Freeform 640"/>
              <xdr:cNvSpPr>
                <a:spLocks noChangeAspect="1"/>
              </xdr:cNvSpPr>
            </xdr:nvSpPr>
            <xdr:spPr bwMode="auto">
              <a:xfrm>
                <a:off x="1368" y="2299"/>
                <a:ext cx="0" cy="9"/>
              </a:xfrm>
              <a:custGeom>
                <a:avLst/>
                <a:gdLst>
                  <a:gd name="T0" fmla="*/ 0 w 1"/>
                  <a:gd name="T1" fmla="*/ 1 h 63"/>
                  <a:gd name="T2" fmla="*/ 0 w 1"/>
                  <a:gd name="T3" fmla="*/ 0 h 63"/>
                  <a:gd name="T4" fmla="*/ 1 w 1"/>
                  <a:gd name="T5" fmla="*/ 0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6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0" name="Freeform 641"/>
              <xdr:cNvSpPr>
                <a:spLocks noChangeAspect="1"/>
              </xdr:cNvSpPr>
            </xdr:nvSpPr>
            <xdr:spPr bwMode="auto">
              <a:xfrm>
                <a:off x="1393" y="2316"/>
                <a:ext cx="0" cy="11"/>
              </a:xfrm>
              <a:custGeom>
                <a:avLst/>
                <a:gdLst>
                  <a:gd name="T0" fmla="*/ 0 w 2"/>
                  <a:gd name="T1" fmla="*/ 2 h 73"/>
                  <a:gd name="T2" fmla="*/ 0 w 2"/>
                  <a:gd name="T3" fmla="*/ 0 h 73"/>
                  <a:gd name="T4" fmla="*/ 1 w 2"/>
                  <a:gd name="T5" fmla="*/ 0 h 7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73">
                    <a:moveTo>
                      <a:pt x="0" y="73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1" name="Freeform 642"/>
              <xdr:cNvSpPr>
                <a:spLocks noChangeAspect="1"/>
              </xdr:cNvSpPr>
            </xdr:nvSpPr>
            <xdr:spPr bwMode="auto">
              <a:xfrm>
                <a:off x="1393" y="2370"/>
                <a:ext cx="2" cy="2"/>
              </a:xfrm>
              <a:custGeom>
                <a:avLst/>
                <a:gdLst>
                  <a:gd name="T0" fmla="*/ 0 w 14"/>
                  <a:gd name="T1" fmla="*/ 0 h 12"/>
                  <a:gd name="T2" fmla="*/ 0 w 14"/>
                  <a:gd name="T3" fmla="*/ 0 h 12"/>
                  <a:gd name="T4" fmla="*/ 0 w 14"/>
                  <a:gd name="T5" fmla="*/ 0 h 12"/>
                  <a:gd name="T6" fmla="*/ 0 w 14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" h="12">
                    <a:moveTo>
                      <a:pt x="0" y="12"/>
                    </a:moveTo>
                    <a:lnTo>
                      <a:pt x="10" y="9"/>
                    </a:lnTo>
                    <a:lnTo>
                      <a:pt x="13" y="0"/>
                    </a:lnTo>
                    <a:lnTo>
                      <a:pt x="1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2" name="Freeform 643"/>
              <xdr:cNvSpPr>
                <a:spLocks noChangeAspect="1"/>
              </xdr:cNvSpPr>
            </xdr:nvSpPr>
            <xdr:spPr bwMode="auto">
              <a:xfrm>
                <a:off x="1393" y="2328"/>
                <a:ext cx="0" cy="8"/>
              </a:xfrm>
              <a:custGeom>
                <a:avLst/>
                <a:gdLst>
                  <a:gd name="T0" fmla="*/ 0 w 2"/>
                  <a:gd name="T1" fmla="*/ 1 h 53"/>
                  <a:gd name="T2" fmla="*/ 0 w 2"/>
                  <a:gd name="T3" fmla="*/ 0 h 53"/>
                  <a:gd name="T4" fmla="*/ 1 w 2"/>
                  <a:gd name="T5" fmla="*/ 0 h 5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53">
                    <a:moveTo>
                      <a:pt x="0" y="53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3" name="Freeform 644"/>
              <xdr:cNvSpPr>
                <a:spLocks noChangeAspect="1"/>
              </xdr:cNvSpPr>
            </xdr:nvSpPr>
            <xdr:spPr bwMode="auto">
              <a:xfrm>
                <a:off x="1393" y="2337"/>
                <a:ext cx="0" cy="13"/>
              </a:xfrm>
              <a:custGeom>
                <a:avLst/>
                <a:gdLst>
                  <a:gd name="T0" fmla="*/ 0 w 2"/>
                  <a:gd name="T1" fmla="*/ 2 h 92"/>
                  <a:gd name="T2" fmla="*/ 0 w 2"/>
                  <a:gd name="T3" fmla="*/ 0 h 92"/>
                  <a:gd name="T4" fmla="*/ 1 w 2"/>
                  <a:gd name="T5" fmla="*/ 0 h 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92">
                    <a:moveTo>
                      <a:pt x="0" y="92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4" name="Freeform 645"/>
              <xdr:cNvSpPr>
                <a:spLocks noChangeAspect="1"/>
              </xdr:cNvSpPr>
            </xdr:nvSpPr>
            <xdr:spPr bwMode="auto">
              <a:xfrm>
                <a:off x="1393" y="2352"/>
                <a:ext cx="0" cy="9"/>
              </a:xfrm>
              <a:custGeom>
                <a:avLst/>
                <a:gdLst>
                  <a:gd name="T0" fmla="*/ 0 w 2"/>
                  <a:gd name="T1" fmla="*/ 1 h 61"/>
                  <a:gd name="T2" fmla="*/ 0 w 2"/>
                  <a:gd name="T3" fmla="*/ 0 h 61"/>
                  <a:gd name="T4" fmla="*/ 1 w 2"/>
                  <a:gd name="T5" fmla="*/ 0 h 6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" h="61">
                    <a:moveTo>
                      <a:pt x="0" y="61"/>
                    </a:moveTo>
                    <a:lnTo>
                      <a:pt x="0" y="0"/>
                    </a:lnTo>
                    <a:lnTo>
                      <a:pt x="2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5" name="Freeform 646"/>
              <xdr:cNvSpPr>
                <a:spLocks noChangeAspect="1"/>
              </xdr:cNvSpPr>
            </xdr:nvSpPr>
            <xdr:spPr bwMode="auto">
              <a:xfrm>
                <a:off x="1398" y="2325"/>
                <a:ext cx="0" cy="28"/>
              </a:xfrm>
              <a:custGeom>
                <a:avLst/>
                <a:gdLst>
                  <a:gd name="T0" fmla="*/ 0 w 1"/>
                  <a:gd name="T1" fmla="*/ 0 h 196"/>
                  <a:gd name="T2" fmla="*/ 0 w 1"/>
                  <a:gd name="T3" fmla="*/ 4 h 196"/>
                  <a:gd name="T4" fmla="*/ 1 w 1"/>
                  <a:gd name="T5" fmla="*/ 4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0"/>
                    </a:moveTo>
                    <a:lnTo>
                      <a:pt x="0" y="196"/>
                    </a:lnTo>
                    <a:lnTo>
                      <a:pt x="1" y="19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6" name="Freeform 647"/>
              <xdr:cNvSpPr>
                <a:spLocks noChangeAspect="1"/>
              </xdr:cNvSpPr>
            </xdr:nvSpPr>
            <xdr:spPr bwMode="auto">
              <a:xfrm>
                <a:off x="1395" y="2325"/>
                <a:ext cx="0" cy="28"/>
              </a:xfrm>
              <a:custGeom>
                <a:avLst/>
                <a:gdLst>
                  <a:gd name="T0" fmla="*/ 0 w 1"/>
                  <a:gd name="T1" fmla="*/ 4 h 196"/>
                  <a:gd name="T2" fmla="*/ 0 w 1"/>
                  <a:gd name="T3" fmla="*/ 0 h 196"/>
                  <a:gd name="T4" fmla="*/ 1 w 1"/>
                  <a:gd name="T5" fmla="*/ 0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19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7" name="Freeform 648"/>
              <xdr:cNvSpPr>
                <a:spLocks noChangeAspect="1"/>
              </xdr:cNvSpPr>
            </xdr:nvSpPr>
            <xdr:spPr bwMode="auto">
              <a:xfrm>
                <a:off x="1398" y="2325"/>
                <a:ext cx="0" cy="28"/>
              </a:xfrm>
              <a:custGeom>
                <a:avLst/>
                <a:gdLst>
                  <a:gd name="T0" fmla="*/ 0 w 1"/>
                  <a:gd name="T1" fmla="*/ 4 h 196"/>
                  <a:gd name="T2" fmla="*/ 0 w 1"/>
                  <a:gd name="T3" fmla="*/ 0 h 196"/>
                  <a:gd name="T4" fmla="*/ 1 w 1"/>
                  <a:gd name="T5" fmla="*/ 0 h 19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6">
                    <a:moveTo>
                      <a:pt x="0" y="196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8" name="Freeform 649"/>
              <xdr:cNvSpPr>
                <a:spLocks noChangeAspect="1"/>
              </xdr:cNvSpPr>
            </xdr:nvSpPr>
            <xdr:spPr bwMode="auto">
              <a:xfrm>
                <a:off x="1400" y="2326"/>
                <a:ext cx="0" cy="27"/>
              </a:xfrm>
              <a:custGeom>
                <a:avLst/>
                <a:gdLst>
                  <a:gd name="T0" fmla="*/ 0 w 1"/>
                  <a:gd name="T1" fmla="*/ 0 h 192"/>
                  <a:gd name="T2" fmla="*/ 0 w 1"/>
                  <a:gd name="T3" fmla="*/ 4 h 192"/>
                  <a:gd name="T4" fmla="*/ 1 w 1"/>
                  <a:gd name="T5" fmla="*/ 4 h 1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92">
                    <a:moveTo>
                      <a:pt x="0" y="0"/>
                    </a:moveTo>
                    <a:lnTo>
                      <a:pt x="0" y="192"/>
                    </a:lnTo>
                    <a:lnTo>
                      <a:pt x="1" y="19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49" name="Freeform 650"/>
              <xdr:cNvSpPr>
                <a:spLocks noChangeAspect="1"/>
              </xdr:cNvSpPr>
            </xdr:nvSpPr>
            <xdr:spPr bwMode="auto">
              <a:xfrm>
                <a:off x="1395" y="2353"/>
                <a:ext cx="3" cy="0"/>
              </a:xfrm>
              <a:custGeom>
                <a:avLst/>
                <a:gdLst>
                  <a:gd name="T0" fmla="*/ 0 w 25"/>
                  <a:gd name="T1" fmla="*/ 0 w 25"/>
                  <a:gd name="T2" fmla="*/ 0 w 25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">
                    <a:moveTo>
                      <a:pt x="25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0" name="Freeform 651"/>
              <xdr:cNvSpPr>
                <a:spLocks noChangeAspect="1"/>
              </xdr:cNvSpPr>
            </xdr:nvSpPr>
            <xdr:spPr bwMode="auto">
              <a:xfrm>
                <a:off x="1398" y="2349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1" name="Freeform 652"/>
              <xdr:cNvSpPr>
                <a:spLocks noChangeAspect="1"/>
              </xdr:cNvSpPr>
            </xdr:nvSpPr>
            <xdr:spPr bwMode="auto">
              <a:xfrm>
                <a:off x="1395" y="2361"/>
                <a:ext cx="0" cy="9"/>
              </a:xfrm>
              <a:custGeom>
                <a:avLst/>
                <a:gdLst>
                  <a:gd name="T0" fmla="*/ 0 w 1"/>
                  <a:gd name="T1" fmla="*/ 0 h 66"/>
                  <a:gd name="T2" fmla="*/ 0 w 1"/>
                  <a:gd name="T3" fmla="*/ 1 h 66"/>
                  <a:gd name="T4" fmla="*/ 1 w 1"/>
                  <a:gd name="T5" fmla="*/ 1 h 6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6">
                    <a:moveTo>
                      <a:pt x="0" y="0"/>
                    </a:moveTo>
                    <a:lnTo>
                      <a:pt x="0" y="66"/>
                    </a:lnTo>
                    <a:lnTo>
                      <a:pt x="1" y="6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2" name="Freeform 653"/>
              <xdr:cNvSpPr>
                <a:spLocks noChangeAspect="1"/>
              </xdr:cNvSpPr>
            </xdr:nvSpPr>
            <xdr:spPr bwMode="auto">
              <a:xfrm>
                <a:off x="1395" y="2325"/>
                <a:ext cx="3" cy="0"/>
              </a:xfrm>
              <a:custGeom>
                <a:avLst/>
                <a:gdLst>
                  <a:gd name="T0" fmla="*/ 0 w 26"/>
                  <a:gd name="T1" fmla="*/ 0 w 26"/>
                  <a:gd name="T2" fmla="*/ 0 w 26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">
                    <a:moveTo>
                      <a:pt x="0" y="0"/>
                    </a:moveTo>
                    <a:lnTo>
                      <a:pt x="25" y="0"/>
                    </a:lnTo>
                    <a:lnTo>
                      <a:pt x="26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3" name="Freeform 654"/>
              <xdr:cNvSpPr>
                <a:spLocks noChangeAspect="1"/>
              </xdr:cNvSpPr>
            </xdr:nvSpPr>
            <xdr:spPr bwMode="auto">
              <a:xfrm>
                <a:off x="1398" y="2330"/>
                <a:ext cx="2" cy="0"/>
              </a:xfrm>
              <a:custGeom>
                <a:avLst/>
                <a:gdLst>
                  <a:gd name="T0" fmla="*/ 0 w 19"/>
                  <a:gd name="T1" fmla="*/ 0 w 19"/>
                  <a:gd name="T2" fmla="*/ 0 w 1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19">
                    <a:moveTo>
                      <a:pt x="0" y="0"/>
                    </a:moveTo>
                    <a:lnTo>
                      <a:pt x="18" y="0"/>
                    </a:lnTo>
                    <a:lnTo>
                      <a:pt x="1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4" name="Freeform 655"/>
              <xdr:cNvSpPr>
                <a:spLocks noChangeAspect="1"/>
              </xdr:cNvSpPr>
            </xdr:nvSpPr>
            <xdr:spPr bwMode="auto">
              <a:xfrm>
                <a:off x="1370" y="2308"/>
                <a:ext cx="0" cy="6"/>
              </a:xfrm>
              <a:custGeom>
                <a:avLst/>
                <a:gdLst>
                  <a:gd name="T0" fmla="*/ 0 w 1"/>
                  <a:gd name="T1" fmla="*/ 1 h 44"/>
                  <a:gd name="T2" fmla="*/ 0 w 1"/>
                  <a:gd name="T3" fmla="*/ 0 h 44"/>
                  <a:gd name="T4" fmla="*/ 1 w 1"/>
                  <a:gd name="T5" fmla="*/ 0 h 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4">
                    <a:moveTo>
                      <a:pt x="0" y="4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5" name="Freeform 656"/>
              <xdr:cNvSpPr>
                <a:spLocks noChangeAspect="1"/>
              </xdr:cNvSpPr>
            </xdr:nvSpPr>
            <xdr:spPr bwMode="auto">
              <a:xfrm>
                <a:off x="1392" y="2314"/>
                <a:ext cx="1" cy="2"/>
              </a:xfrm>
              <a:custGeom>
                <a:avLst/>
                <a:gdLst>
                  <a:gd name="T0" fmla="*/ 0 w 11"/>
                  <a:gd name="T1" fmla="*/ 0 h 14"/>
                  <a:gd name="T2" fmla="*/ 0 w 11"/>
                  <a:gd name="T3" fmla="*/ 0 h 14"/>
                  <a:gd name="T4" fmla="*/ 0 w 11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1" h="14">
                    <a:moveTo>
                      <a:pt x="11" y="1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6" name="Freeform 657"/>
              <xdr:cNvSpPr>
                <a:spLocks noChangeAspect="1"/>
              </xdr:cNvSpPr>
            </xdr:nvSpPr>
            <xdr:spPr bwMode="auto">
              <a:xfrm>
                <a:off x="1387" y="2308"/>
                <a:ext cx="0" cy="6"/>
              </a:xfrm>
              <a:custGeom>
                <a:avLst/>
                <a:gdLst>
                  <a:gd name="T0" fmla="*/ 0 w 1"/>
                  <a:gd name="T1" fmla="*/ 1 h 44"/>
                  <a:gd name="T2" fmla="*/ 0 w 1"/>
                  <a:gd name="T3" fmla="*/ 0 h 44"/>
                  <a:gd name="T4" fmla="*/ 1 w 1"/>
                  <a:gd name="T5" fmla="*/ 0 h 4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44">
                    <a:moveTo>
                      <a:pt x="0" y="44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7" name="Freeform 658"/>
              <xdr:cNvSpPr>
                <a:spLocks noChangeAspect="1"/>
              </xdr:cNvSpPr>
            </xdr:nvSpPr>
            <xdr:spPr bwMode="auto">
              <a:xfrm>
                <a:off x="1389" y="2299"/>
                <a:ext cx="0" cy="9"/>
              </a:xfrm>
              <a:custGeom>
                <a:avLst/>
                <a:gdLst>
                  <a:gd name="T0" fmla="*/ 0 w 1"/>
                  <a:gd name="T1" fmla="*/ 1 h 63"/>
                  <a:gd name="T2" fmla="*/ 0 w 1"/>
                  <a:gd name="T3" fmla="*/ 0 h 63"/>
                  <a:gd name="T4" fmla="*/ 1 w 1"/>
                  <a:gd name="T5" fmla="*/ 0 h 6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3">
                    <a:moveTo>
                      <a:pt x="0" y="6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8" name="Freeform 659"/>
              <xdr:cNvSpPr>
                <a:spLocks noChangeAspect="1"/>
              </xdr:cNvSpPr>
            </xdr:nvSpPr>
            <xdr:spPr bwMode="auto">
              <a:xfrm>
                <a:off x="1364" y="2316"/>
                <a:ext cx="0" cy="11"/>
              </a:xfrm>
              <a:custGeom>
                <a:avLst/>
                <a:gdLst>
                  <a:gd name="T0" fmla="*/ 0 w 1"/>
                  <a:gd name="T1" fmla="*/ 2 h 73"/>
                  <a:gd name="T2" fmla="*/ 0 w 1"/>
                  <a:gd name="T3" fmla="*/ 0 h 73"/>
                  <a:gd name="T4" fmla="*/ 1 w 1"/>
                  <a:gd name="T5" fmla="*/ 0 h 7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73">
                    <a:moveTo>
                      <a:pt x="0" y="7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59" name="Freeform 660"/>
              <xdr:cNvSpPr>
                <a:spLocks noChangeAspect="1"/>
              </xdr:cNvSpPr>
            </xdr:nvSpPr>
            <xdr:spPr bwMode="auto">
              <a:xfrm>
                <a:off x="1364" y="2328"/>
                <a:ext cx="0" cy="8"/>
              </a:xfrm>
              <a:custGeom>
                <a:avLst/>
                <a:gdLst>
                  <a:gd name="T0" fmla="*/ 0 w 1"/>
                  <a:gd name="T1" fmla="*/ 1 h 53"/>
                  <a:gd name="T2" fmla="*/ 0 w 1"/>
                  <a:gd name="T3" fmla="*/ 0 h 53"/>
                  <a:gd name="T4" fmla="*/ 1 w 1"/>
                  <a:gd name="T5" fmla="*/ 0 h 53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53">
                    <a:moveTo>
                      <a:pt x="0" y="53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0" name="Freeform 661"/>
              <xdr:cNvSpPr>
                <a:spLocks noChangeAspect="1"/>
              </xdr:cNvSpPr>
            </xdr:nvSpPr>
            <xdr:spPr bwMode="auto">
              <a:xfrm>
                <a:off x="1364" y="2337"/>
                <a:ext cx="0" cy="13"/>
              </a:xfrm>
              <a:custGeom>
                <a:avLst/>
                <a:gdLst>
                  <a:gd name="T0" fmla="*/ 0 w 1"/>
                  <a:gd name="T1" fmla="*/ 2 h 92"/>
                  <a:gd name="T2" fmla="*/ 0 w 1"/>
                  <a:gd name="T3" fmla="*/ 0 h 92"/>
                  <a:gd name="T4" fmla="*/ 1 w 1"/>
                  <a:gd name="T5" fmla="*/ 0 h 92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92">
                    <a:moveTo>
                      <a:pt x="0" y="92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1" name="Freeform 662"/>
              <xdr:cNvSpPr>
                <a:spLocks noChangeAspect="1"/>
              </xdr:cNvSpPr>
            </xdr:nvSpPr>
            <xdr:spPr bwMode="auto">
              <a:xfrm>
                <a:off x="1363" y="2336"/>
                <a:ext cx="0" cy="1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2" name="Freeform 663"/>
              <xdr:cNvSpPr>
                <a:spLocks noChangeAspect="1"/>
              </xdr:cNvSpPr>
            </xdr:nvSpPr>
            <xdr:spPr bwMode="auto">
              <a:xfrm>
                <a:off x="1364" y="2352"/>
                <a:ext cx="0" cy="9"/>
              </a:xfrm>
              <a:custGeom>
                <a:avLst/>
                <a:gdLst>
                  <a:gd name="T0" fmla="*/ 0 w 1"/>
                  <a:gd name="T1" fmla="*/ 1 h 61"/>
                  <a:gd name="T2" fmla="*/ 0 w 1"/>
                  <a:gd name="T3" fmla="*/ 0 h 61"/>
                  <a:gd name="T4" fmla="*/ 1 w 1"/>
                  <a:gd name="T5" fmla="*/ 0 h 6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1">
                    <a:moveTo>
                      <a:pt x="0" y="6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3" name="Freeform 664"/>
              <xdr:cNvSpPr>
                <a:spLocks noChangeAspect="1"/>
              </xdr:cNvSpPr>
            </xdr:nvSpPr>
            <xdr:spPr bwMode="auto">
              <a:xfrm>
                <a:off x="1362" y="2361"/>
                <a:ext cx="0" cy="9"/>
              </a:xfrm>
              <a:custGeom>
                <a:avLst/>
                <a:gdLst>
                  <a:gd name="T0" fmla="*/ 0 w 1"/>
                  <a:gd name="T1" fmla="*/ 0 h 66"/>
                  <a:gd name="T2" fmla="*/ 0 w 1"/>
                  <a:gd name="T3" fmla="*/ 1 h 66"/>
                  <a:gd name="T4" fmla="*/ 1 w 1"/>
                  <a:gd name="T5" fmla="*/ 1 h 6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66">
                    <a:moveTo>
                      <a:pt x="0" y="0"/>
                    </a:moveTo>
                    <a:lnTo>
                      <a:pt x="0" y="66"/>
                    </a:lnTo>
                    <a:lnTo>
                      <a:pt x="1" y="66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4" name="Freeform 665"/>
              <xdr:cNvSpPr>
                <a:spLocks noChangeAspect="1"/>
              </xdr:cNvSpPr>
            </xdr:nvSpPr>
            <xdr:spPr bwMode="auto">
              <a:xfrm>
                <a:off x="1362" y="2370"/>
                <a:ext cx="2" cy="2"/>
              </a:xfrm>
              <a:custGeom>
                <a:avLst/>
                <a:gdLst>
                  <a:gd name="T0" fmla="*/ 0 w 14"/>
                  <a:gd name="T1" fmla="*/ 0 h 12"/>
                  <a:gd name="T2" fmla="*/ 0 w 14"/>
                  <a:gd name="T3" fmla="*/ 0 h 12"/>
                  <a:gd name="T4" fmla="*/ 0 w 14"/>
                  <a:gd name="T5" fmla="*/ 0 h 12"/>
                  <a:gd name="T6" fmla="*/ 0 w 14"/>
                  <a:gd name="T7" fmla="*/ 0 h 12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" h="12">
                    <a:moveTo>
                      <a:pt x="0" y="0"/>
                    </a:moveTo>
                    <a:lnTo>
                      <a:pt x="4" y="9"/>
                    </a:lnTo>
                    <a:lnTo>
                      <a:pt x="13" y="12"/>
                    </a:lnTo>
                    <a:lnTo>
                      <a:pt x="14" y="12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5" name="Freeform 666"/>
              <xdr:cNvSpPr>
                <a:spLocks noChangeAspect="1"/>
              </xdr:cNvSpPr>
            </xdr:nvSpPr>
            <xdr:spPr bwMode="auto">
              <a:xfrm>
                <a:off x="1363" y="2350"/>
                <a:ext cx="0" cy="2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6" name="Freeform 667"/>
              <xdr:cNvSpPr>
                <a:spLocks noChangeAspect="1"/>
              </xdr:cNvSpPr>
            </xdr:nvSpPr>
            <xdr:spPr bwMode="auto">
              <a:xfrm>
                <a:off x="1363" y="2327"/>
                <a:ext cx="0" cy="1"/>
              </a:xfrm>
              <a:custGeom>
                <a:avLst/>
                <a:gdLst>
                  <a:gd name="T0" fmla="*/ 0 w 1"/>
                  <a:gd name="T1" fmla="*/ 0 h 11"/>
                  <a:gd name="T2" fmla="*/ 0 w 1"/>
                  <a:gd name="T3" fmla="*/ 0 h 11"/>
                  <a:gd name="T4" fmla="*/ 1 w 1"/>
                  <a:gd name="T5" fmla="*/ 0 h 11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" h="11">
                    <a:moveTo>
                      <a:pt x="0" y="11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7" name="Freeform 668"/>
              <xdr:cNvSpPr>
                <a:spLocks noChangeAspect="1"/>
              </xdr:cNvSpPr>
            </xdr:nvSpPr>
            <xdr:spPr bwMode="auto">
              <a:xfrm>
                <a:off x="1364" y="2314"/>
                <a:ext cx="1" cy="2"/>
              </a:xfrm>
              <a:custGeom>
                <a:avLst/>
                <a:gdLst>
                  <a:gd name="T0" fmla="*/ 0 w 13"/>
                  <a:gd name="T1" fmla="*/ 0 h 14"/>
                  <a:gd name="T2" fmla="*/ 0 w 13"/>
                  <a:gd name="T3" fmla="*/ 0 h 14"/>
                  <a:gd name="T4" fmla="*/ 0 w 13"/>
                  <a:gd name="T5" fmla="*/ 0 h 14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13" h="14">
                    <a:moveTo>
                      <a:pt x="0" y="14"/>
                    </a:moveTo>
                    <a:lnTo>
                      <a:pt x="12" y="0"/>
                    </a:lnTo>
                    <a:lnTo>
                      <a:pt x="13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8" name="Freeform 669"/>
              <xdr:cNvSpPr>
                <a:spLocks noChangeAspect="1"/>
              </xdr:cNvSpPr>
            </xdr:nvSpPr>
            <xdr:spPr bwMode="auto">
              <a:xfrm>
                <a:off x="1363" y="2336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69" name="Freeform 670"/>
              <xdr:cNvSpPr>
                <a:spLocks noChangeAspect="1"/>
              </xdr:cNvSpPr>
            </xdr:nvSpPr>
            <xdr:spPr bwMode="auto">
              <a:xfrm>
                <a:off x="1363" y="2337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0" name="Freeform 671"/>
              <xdr:cNvSpPr>
                <a:spLocks noChangeAspect="1"/>
              </xdr:cNvSpPr>
            </xdr:nvSpPr>
            <xdr:spPr bwMode="auto">
              <a:xfrm>
                <a:off x="1362" y="2361"/>
                <a:ext cx="33" cy="0"/>
              </a:xfrm>
              <a:custGeom>
                <a:avLst/>
                <a:gdLst>
                  <a:gd name="T0" fmla="*/ 0 w 264"/>
                  <a:gd name="T1" fmla="*/ 4 w 264"/>
                  <a:gd name="T2" fmla="*/ 4 w 26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64">
                    <a:moveTo>
                      <a:pt x="0" y="0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1" name="Freeform 672"/>
              <xdr:cNvSpPr>
                <a:spLocks noChangeAspect="1"/>
              </xdr:cNvSpPr>
            </xdr:nvSpPr>
            <xdr:spPr bwMode="auto">
              <a:xfrm>
                <a:off x="1363" y="2369"/>
                <a:ext cx="32" cy="3"/>
              </a:xfrm>
              <a:custGeom>
                <a:avLst/>
                <a:gdLst>
                  <a:gd name="T0" fmla="*/ 0 w 255"/>
                  <a:gd name="T1" fmla="*/ 1 h 17"/>
                  <a:gd name="T2" fmla="*/ 4 w 255"/>
                  <a:gd name="T3" fmla="*/ 0 h 17"/>
                  <a:gd name="T4" fmla="*/ 4 w 255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55" h="17">
                    <a:moveTo>
                      <a:pt x="0" y="17"/>
                    </a:moveTo>
                    <a:lnTo>
                      <a:pt x="254" y="0"/>
                    </a:lnTo>
                    <a:lnTo>
                      <a:pt x="255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2" name="Freeform 673"/>
              <xdr:cNvSpPr>
                <a:spLocks noChangeAspect="1"/>
              </xdr:cNvSpPr>
            </xdr:nvSpPr>
            <xdr:spPr bwMode="auto">
              <a:xfrm>
                <a:off x="1362" y="2367"/>
                <a:ext cx="33" cy="3"/>
              </a:xfrm>
              <a:custGeom>
                <a:avLst/>
                <a:gdLst>
                  <a:gd name="T0" fmla="*/ 0 w 264"/>
                  <a:gd name="T1" fmla="*/ 1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3" name="Freeform 674"/>
              <xdr:cNvSpPr>
                <a:spLocks noChangeAspect="1"/>
              </xdr:cNvSpPr>
            </xdr:nvSpPr>
            <xdr:spPr bwMode="auto">
              <a:xfrm>
                <a:off x="1362" y="2365"/>
                <a:ext cx="33" cy="2"/>
              </a:xfrm>
              <a:custGeom>
                <a:avLst/>
                <a:gdLst>
                  <a:gd name="T0" fmla="*/ 0 w 264"/>
                  <a:gd name="T1" fmla="*/ 0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4" name="Freeform 675"/>
              <xdr:cNvSpPr>
                <a:spLocks noChangeAspect="1"/>
              </xdr:cNvSpPr>
            </xdr:nvSpPr>
            <xdr:spPr bwMode="auto">
              <a:xfrm>
                <a:off x="1362" y="2363"/>
                <a:ext cx="33" cy="2"/>
              </a:xfrm>
              <a:custGeom>
                <a:avLst/>
                <a:gdLst>
                  <a:gd name="T0" fmla="*/ 0 w 264"/>
                  <a:gd name="T1" fmla="*/ 0 h 17"/>
                  <a:gd name="T2" fmla="*/ 4 w 264"/>
                  <a:gd name="T3" fmla="*/ 0 h 17"/>
                  <a:gd name="T4" fmla="*/ 4 w 264"/>
                  <a:gd name="T5" fmla="*/ 0 h 17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64" h="17">
                    <a:moveTo>
                      <a:pt x="0" y="17"/>
                    </a:moveTo>
                    <a:lnTo>
                      <a:pt x="263" y="0"/>
                    </a:lnTo>
                    <a:lnTo>
                      <a:pt x="264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5" name="Freeform 676"/>
              <xdr:cNvSpPr>
                <a:spLocks noChangeAspect="1"/>
              </xdr:cNvSpPr>
            </xdr:nvSpPr>
            <xdr:spPr bwMode="auto">
              <a:xfrm>
                <a:off x="1363" y="2352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6" name="Freeform 677"/>
              <xdr:cNvSpPr>
                <a:spLocks noChangeAspect="1"/>
              </xdr:cNvSpPr>
            </xdr:nvSpPr>
            <xdr:spPr bwMode="auto">
              <a:xfrm>
                <a:off x="1363" y="2350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7" name="Freeform 678"/>
              <xdr:cNvSpPr>
                <a:spLocks noChangeAspect="1"/>
              </xdr:cNvSpPr>
            </xdr:nvSpPr>
            <xdr:spPr bwMode="auto">
              <a:xfrm>
                <a:off x="1363" y="2327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8" name="Freeform 679"/>
              <xdr:cNvSpPr>
                <a:spLocks noChangeAspect="1"/>
              </xdr:cNvSpPr>
            </xdr:nvSpPr>
            <xdr:spPr bwMode="auto">
              <a:xfrm>
                <a:off x="1363" y="2328"/>
                <a:ext cx="32" cy="0"/>
              </a:xfrm>
              <a:custGeom>
                <a:avLst/>
                <a:gdLst>
                  <a:gd name="T0" fmla="*/ 4 w 258"/>
                  <a:gd name="T1" fmla="*/ 0 w 258"/>
                  <a:gd name="T2" fmla="*/ 0 w 258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58">
                    <a:moveTo>
                      <a:pt x="258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79" name="Freeform 680"/>
              <xdr:cNvSpPr>
                <a:spLocks noChangeAspect="1"/>
              </xdr:cNvSpPr>
            </xdr:nvSpPr>
            <xdr:spPr bwMode="auto">
              <a:xfrm>
                <a:off x="1364" y="2372"/>
                <a:ext cx="29" cy="0"/>
              </a:xfrm>
              <a:custGeom>
                <a:avLst/>
                <a:gdLst>
                  <a:gd name="T0" fmla="*/ 0 w 239"/>
                  <a:gd name="T1" fmla="*/ 4 w 239"/>
                  <a:gd name="T2" fmla="*/ 4 w 239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39">
                    <a:moveTo>
                      <a:pt x="0" y="0"/>
                    </a:moveTo>
                    <a:lnTo>
                      <a:pt x="237" y="0"/>
                    </a:lnTo>
                    <a:lnTo>
                      <a:pt x="239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0" name="Freeform 681"/>
              <xdr:cNvSpPr>
                <a:spLocks noChangeAspect="1"/>
              </xdr:cNvSpPr>
            </xdr:nvSpPr>
            <xdr:spPr bwMode="auto">
              <a:xfrm>
                <a:off x="1362" y="2361"/>
                <a:ext cx="31" cy="2"/>
              </a:xfrm>
              <a:custGeom>
                <a:avLst/>
                <a:gdLst>
                  <a:gd name="T0" fmla="*/ 0 w 250"/>
                  <a:gd name="T1" fmla="*/ 0 h 16"/>
                  <a:gd name="T2" fmla="*/ 4 w 250"/>
                  <a:gd name="T3" fmla="*/ 0 h 16"/>
                  <a:gd name="T4" fmla="*/ 4 w 250"/>
                  <a:gd name="T5" fmla="*/ 0 h 16"/>
                  <a:gd name="T6" fmla="*/ 0 60000 65536"/>
                  <a:gd name="T7" fmla="*/ 0 60000 65536"/>
                  <a:gd name="T8" fmla="*/ 0 60000 6553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0" t="0" r="r" b="b"/>
                <a:pathLst>
                  <a:path w="250" h="16">
                    <a:moveTo>
                      <a:pt x="0" y="16"/>
                    </a:moveTo>
                    <a:lnTo>
                      <a:pt x="249" y="0"/>
                    </a:lnTo>
                    <a:lnTo>
                      <a:pt x="25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81" name="Freeform 682"/>
              <xdr:cNvSpPr>
                <a:spLocks noChangeAspect="1"/>
              </xdr:cNvSpPr>
            </xdr:nvSpPr>
            <xdr:spPr bwMode="auto">
              <a:xfrm>
                <a:off x="1365" y="2314"/>
                <a:ext cx="27" cy="0"/>
              </a:xfrm>
              <a:custGeom>
                <a:avLst/>
                <a:gdLst>
                  <a:gd name="T0" fmla="*/ 3 w 214"/>
                  <a:gd name="T1" fmla="*/ 0 w 214"/>
                  <a:gd name="T2" fmla="*/ 0 w 214"/>
                  <a:gd name="T3" fmla="*/ 0 60000 65536"/>
                  <a:gd name="T4" fmla="*/ 0 60000 65536"/>
                  <a:gd name="T5" fmla="*/ 0 60000 65536"/>
                </a:gdLst>
                <a:ahLst/>
                <a:cxnLst>
                  <a:cxn ang="T3">
                    <a:pos x="T0" y="0"/>
                  </a:cxn>
                  <a:cxn ang="T4">
                    <a:pos x="T1" y="0"/>
                  </a:cxn>
                  <a:cxn ang="T5">
                    <a:pos x="T2" y="0"/>
                  </a:cxn>
                </a:cxnLst>
                <a:rect l="0" t="0" r="r" b="b"/>
                <a:pathLst>
                  <a:path w="214">
                    <a:moveTo>
                      <a:pt x="214" y="0"/>
                    </a:moveTo>
                    <a:lnTo>
                      <a:pt x="0" y="0"/>
                    </a:lnTo>
                    <a:lnTo>
                      <a:pt x="1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128" name="Freeform 683"/>
            <xdr:cNvSpPr>
              <a:spLocks noChangeAspect="1"/>
            </xdr:cNvSpPr>
          </xdr:nvSpPr>
          <xdr:spPr bwMode="auto">
            <a:xfrm>
              <a:off x="1110" y="1720"/>
              <a:ext cx="10" cy="26"/>
            </a:xfrm>
            <a:custGeom>
              <a:avLst/>
              <a:gdLst>
                <a:gd name="T0" fmla="*/ 10 w 10"/>
                <a:gd name="T1" fmla="*/ 0 h 26"/>
                <a:gd name="T2" fmla="*/ 6 w 10"/>
                <a:gd name="T3" fmla="*/ 26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0" h="26">
                  <a:moveTo>
                    <a:pt x="10" y="0"/>
                  </a:moveTo>
                  <a:cubicBezTo>
                    <a:pt x="0" y="7"/>
                    <a:pt x="6" y="15"/>
                    <a:pt x="6" y="26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9" name="Freeform 684"/>
            <xdr:cNvSpPr>
              <a:spLocks noChangeAspect="1"/>
            </xdr:cNvSpPr>
          </xdr:nvSpPr>
          <xdr:spPr bwMode="auto">
            <a:xfrm>
              <a:off x="1082" y="1974"/>
              <a:ext cx="16" cy="10"/>
            </a:xfrm>
            <a:custGeom>
              <a:avLst/>
              <a:gdLst>
                <a:gd name="T0" fmla="*/ 0 w 16"/>
                <a:gd name="T1" fmla="*/ 10 h 10"/>
                <a:gd name="T2" fmla="*/ 12 w 16"/>
                <a:gd name="T3" fmla="*/ 6 h 10"/>
                <a:gd name="T4" fmla="*/ 16 w 16"/>
                <a:gd name="T5" fmla="*/ 0 h 1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6" h="10">
                  <a:moveTo>
                    <a:pt x="0" y="10"/>
                  </a:moveTo>
                  <a:cubicBezTo>
                    <a:pt x="4" y="9"/>
                    <a:pt x="10" y="10"/>
                    <a:pt x="12" y="6"/>
                  </a:cubicBezTo>
                  <a:cubicBezTo>
                    <a:pt x="13" y="4"/>
                    <a:pt x="16" y="0"/>
                    <a:pt x="16" y="0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0" name="Freeform 685"/>
            <xdr:cNvSpPr>
              <a:spLocks noChangeAspect="1"/>
            </xdr:cNvSpPr>
          </xdr:nvSpPr>
          <xdr:spPr bwMode="auto">
            <a:xfrm>
              <a:off x="1144" y="2878"/>
              <a:ext cx="2" cy="20"/>
            </a:xfrm>
            <a:custGeom>
              <a:avLst/>
              <a:gdLst>
                <a:gd name="T0" fmla="*/ 0 w 2"/>
                <a:gd name="T1" fmla="*/ 0 h 20"/>
                <a:gd name="T2" fmla="*/ 2 w 2"/>
                <a:gd name="T3" fmla="*/ 20 h 20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2" h="20">
                  <a:moveTo>
                    <a:pt x="0" y="0"/>
                  </a:moveTo>
                  <a:cubicBezTo>
                    <a:pt x="2" y="17"/>
                    <a:pt x="2" y="11"/>
                    <a:pt x="2" y="20"/>
                  </a:cubicBezTo>
                </a:path>
              </a:pathLst>
            </a:custGeom>
            <a:noFill/>
            <a:ln w="3810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1" name="Freeform 686"/>
            <xdr:cNvSpPr>
              <a:spLocks noChangeAspect="1"/>
            </xdr:cNvSpPr>
          </xdr:nvSpPr>
          <xdr:spPr bwMode="auto">
            <a:xfrm>
              <a:off x="1710" y="3188"/>
              <a:ext cx="8" cy="26"/>
            </a:xfrm>
            <a:custGeom>
              <a:avLst/>
              <a:gdLst>
                <a:gd name="T0" fmla="*/ 0 w 8"/>
                <a:gd name="T1" fmla="*/ 26 h 26"/>
                <a:gd name="T2" fmla="*/ 8 w 8"/>
                <a:gd name="T3" fmla="*/ 0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8" h="26">
                  <a:moveTo>
                    <a:pt x="0" y="26"/>
                  </a:moveTo>
                  <a:cubicBezTo>
                    <a:pt x="2" y="19"/>
                    <a:pt x="8" y="8"/>
                    <a:pt x="8" y="0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2" name="Freeform 687"/>
            <xdr:cNvSpPr>
              <a:spLocks noChangeAspect="1"/>
            </xdr:cNvSpPr>
          </xdr:nvSpPr>
          <xdr:spPr bwMode="auto">
            <a:xfrm>
              <a:off x="3392" y="3026"/>
              <a:ext cx="8" cy="26"/>
            </a:xfrm>
            <a:custGeom>
              <a:avLst/>
              <a:gdLst>
                <a:gd name="T0" fmla="*/ 0 w 8"/>
                <a:gd name="T1" fmla="*/ 26 h 26"/>
                <a:gd name="T2" fmla="*/ 8 w 8"/>
                <a:gd name="T3" fmla="*/ 0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8" h="26">
                  <a:moveTo>
                    <a:pt x="0" y="26"/>
                  </a:moveTo>
                  <a:cubicBezTo>
                    <a:pt x="8" y="18"/>
                    <a:pt x="8" y="13"/>
                    <a:pt x="8" y="0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3" name="Freeform 688"/>
            <xdr:cNvSpPr>
              <a:spLocks noChangeAspect="1"/>
            </xdr:cNvSpPr>
          </xdr:nvSpPr>
          <xdr:spPr bwMode="auto">
            <a:xfrm>
              <a:off x="3548" y="2880"/>
              <a:ext cx="4" cy="34"/>
            </a:xfrm>
            <a:custGeom>
              <a:avLst/>
              <a:gdLst>
                <a:gd name="T0" fmla="*/ 0 w 4"/>
                <a:gd name="T1" fmla="*/ 34 h 34"/>
                <a:gd name="T2" fmla="*/ 4 w 4"/>
                <a:gd name="T3" fmla="*/ 0 h 34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4" h="34">
                  <a:moveTo>
                    <a:pt x="0" y="34"/>
                  </a:moveTo>
                  <a:cubicBezTo>
                    <a:pt x="4" y="23"/>
                    <a:pt x="4" y="0"/>
                    <a:pt x="4" y="0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4" name="Freeform 689"/>
            <xdr:cNvSpPr>
              <a:spLocks noChangeAspect="1"/>
            </xdr:cNvSpPr>
          </xdr:nvSpPr>
          <xdr:spPr bwMode="auto">
            <a:xfrm>
              <a:off x="3594" y="1969"/>
              <a:ext cx="24" cy="29"/>
            </a:xfrm>
            <a:custGeom>
              <a:avLst/>
              <a:gdLst>
                <a:gd name="T0" fmla="*/ 0 w 24"/>
                <a:gd name="T1" fmla="*/ 3 h 29"/>
                <a:gd name="T2" fmla="*/ 16 w 24"/>
                <a:gd name="T3" fmla="*/ 29 h 2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24" h="29">
                  <a:moveTo>
                    <a:pt x="0" y="3"/>
                  </a:moveTo>
                  <a:cubicBezTo>
                    <a:pt x="24" y="6"/>
                    <a:pt x="16" y="0"/>
                    <a:pt x="16" y="29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5" name="Freeform 690"/>
            <xdr:cNvSpPr>
              <a:spLocks noChangeAspect="1"/>
            </xdr:cNvSpPr>
          </xdr:nvSpPr>
          <xdr:spPr bwMode="auto">
            <a:xfrm>
              <a:off x="3580" y="1730"/>
              <a:ext cx="4" cy="26"/>
            </a:xfrm>
            <a:custGeom>
              <a:avLst/>
              <a:gdLst>
                <a:gd name="T0" fmla="*/ 0 w 4"/>
                <a:gd name="T1" fmla="*/ 0 h 26"/>
                <a:gd name="T2" fmla="*/ 2 w 4"/>
                <a:gd name="T3" fmla="*/ 26 h 26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4" h="26">
                  <a:moveTo>
                    <a:pt x="0" y="0"/>
                  </a:moveTo>
                  <a:cubicBezTo>
                    <a:pt x="4" y="12"/>
                    <a:pt x="2" y="4"/>
                    <a:pt x="2" y="26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BBE0E3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5" name="Text Box 691"/>
          <xdr:cNvSpPr txBox="1">
            <a:spLocks noChangeArrowheads="1"/>
          </xdr:cNvSpPr>
        </xdr:nvSpPr>
        <xdr:spPr bwMode="auto">
          <a:xfrm>
            <a:off x="839" y="109"/>
            <a:ext cx="160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Wassermenge für den</a:t>
            </a:r>
          </a:p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zu behandelnden Schlag</a:t>
            </a:r>
          </a:p>
        </xdr:txBody>
      </xdr:sp>
    </xdr:grpSp>
    <xdr:clientData/>
  </xdr:twoCellAnchor>
  <xdr:twoCellAnchor editAs="oneCell">
    <xdr:from>
      <xdr:col>7</xdr:col>
      <xdr:colOff>381000</xdr:colOff>
      <xdr:row>12</xdr:row>
      <xdr:rowOff>166687</xdr:rowOff>
    </xdr:from>
    <xdr:to>
      <xdr:col>12</xdr:col>
      <xdr:colOff>423402</xdr:colOff>
      <xdr:row>17</xdr:row>
      <xdr:rowOff>234489</xdr:rowOff>
    </xdr:to>
    <xdr:pic>
      <xdr:nvPicPr>
        <xdr:cNvPr id="386" name="Grafik 385"/>
        <xdr:cNvPicPr>
          <a:picLocks noChangeAspect="1"/>
        </xdr:cNvPicPr>
      </xdr:nvPicPr>
      <xdr:blipFill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0" y="3012281"/>
          <a:ext cx="2304590" cy="12584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25</xdr:row>
      <xdr:rowOff>138792</xdr:rowOff>
    </xdr:from>
    <xdr:to>
      <xdr:col>19</xdr:col>
      <xdr:colOff>396499</xdr:colOff>
      <xdr:row>33</xdr:row>
      <xdr:rowOff>143706</xdr:rowOff>
    </xdr:to>
    <xdr:grpSp>
      <xdr:nvGrpSpPr>
        <xdr:cNvPr id="9" name="Gruppieren 8"/>
        <xdr:cNvGrpSpPr/>
      </xdr:nvGrpSpPr>
      <xdr:grpSpPr>
        <a:xfrm>
          <a:off x="27215" y="5960948"/>
          <a:ext cx="13180409" cy="1814664"/>
          <a:chOff x="95250" y="3717471"/>
          <a:chExt cx="13037534" cy="1855485"/>
        </a:xfrm>
      </xdr:grpSpPr>
      <xdr:sp macro="" textlink="">
        <xdr:nvSpPr>
          <xdr:cNvPr id="2" name="AutoShape 8"/>
          <xdr:cNvSpPr>
            <a:spLocks noChangeArrowheads="1"/>
          </xdr:cNvSpPr>
        </xdr:nvSpPr>
        <xdr:spPr bwMode="auto">
          <a:xfrm>
            <a:off x="95250" y="4984144"/>
            <a:ext cx="13037534" cy="588812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  </a:r>
          </a:p>
        </xdr:txBody>
      </xdr:sp>
      <xdr:pic>
        <xdr:nvPicPr>
          <xdr:cNvPr id="3" name="Grafik 2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82" y="3784410"/>
            <a:ext cx="4864261" cy="1125359"/>
          </a:xfrm>
          <a:prstGeom prst="rect">
            <a:avLst/>
          </a:prstGeom>
        </xdr:spPr>
      </xdr:pic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32679" y="3717471"/>
            <a:ext cx="4802620" cy="1217922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7725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5439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  <xdr:twoCellAnchor>
    <xdr:from>
      <xdr:col>0</xdr:col>
      <xdr:colOff>0</xdr:colOff>
      <xdr:row>15</xdr:row>
      <xdr:rowOff>96950</xdr:rowOff>
    </xdr:from>
    <xdr:to>
      <xdr:col>3</xdr:col>
      <xdr:colOff>763701</xdr:colOff>
      <xdr:row>19</xdr:row>
      <xdr:rowOff>231320</xdr:rowOff>
    </xdr:to>
    <xdr:sp macro="" textlink="">
      <xdr:nvSpPr>
        <xdr:cNvPr id="10" name="Rahmen 9"/>
        <xdr:cNvSpPr/>
      </xdr:nvSpPr>
      <xdr:spPr>
        <a:xfrm>
          <a:off x="0" y="3757271"/>
          <a:ext cx="4083844" cy="1059656"/>
        </a:xfrm>
        <a:prstGeom prst="bevel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de-DE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den gelben Feldern können die Wassermenge (l/ha) und die Fahrge-schwindigkeit (km/h) verändert werden</a:t>
          </a:r>
          <a:endParaRPr lang="de-DE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95249</xdr:colOff>
      <xdr:row>0</xdr:row>
      <xdr:rowOff>0</xdr:rowOff>
    </xdr:from>
    <xdr:to>
      <xdr:col>6</xdr:col>
      <xdr:colOff>1156606</xdr:colOff>
      <xdr:row>3</xdr:row>
      <xdr:rowOff>171790</xdr:rowOff>
    </xdr:to>
    <xdr:sp macro="" textlink="">
      <xdr:nvSpPr>
        <xdr:cNvPr id="11" name="Rahmen 10"/>
        <xdr:cNvSpPr/>
      </xdr:nvSpPr>
      <xdr:spPr>
        <a:xfrm>
          <a:off x="4238624" y="0"/>
          <a:ext cx="3073513" cy="874259"/>
        </a:xfrm>
        <a:prstGeom prst="bevel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Düsen </a:t>
          </a: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25 cm Düsenabstand im Gestänge und 40 cm Abstand zur Zielfläche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20</xdr:row>
      <xdr:rowOff>167215</xdr:rowOff>
    </xdr:from>
    <xdr:to>
      <xdr:col>20</xdr:col>
      <xdr:colOff>15498</xdr:colOff>
      <xdr:row>23</xdr:row>
      <xdr:rowOff>62063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95250" y="4872565"/>
          <a:ext cx="12826623" cy="580648"/>
        </a:xfrm>
        <a:prstGeom prst="foldedCorner">
          <a:avLst>
            <a:gd name="adj" fmla="val 12500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Die Abdriftminderungsklasse kann nur dann erreicht werden, wenn mit den bei den Düsen angegebenen Drücken ein 20 m breiter Streifen zum wasserführenden Graben (NW) bzw. zur Hecke (NT) hin behandelt wird (In der übrigen Fläche sollte der Druck wieder erhöht werden, um die biologische Wirkung zu optimieren).</a:t>
          </a:r>
        </a:p>
      </xdr:txBody>
    </xdr:sp>
    <xdr:clientData/>
  </xdr:twoCellAnchor>
  <xdr:twoCellAnchor editAs="oneCell">
    <xdr:from>
      <xdr:col>0</xdr:col>
      <xdr:colOff>154782</xdr:colOff>
      <xdr:row>15</xdr:row>
      <xdr:rowOff>124089</xdr:rowOff>
    </xdr:from>
    <xdr:to>
      <xdr:col>5</xdr:col>
      <xdr:colOff>93257</xdr:colOff>
      <xdr:row>20</xdr:row>
      <xdr:rowOff>92840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2" y="3686439"/>
          <a:ext cx="4853375" cy="1111751"/>
        </a:xfrm>
        <a:prstGeom prst="rect">
          <a:avLst/>
        </a:prstGeom>
      </xdr:spPr>
    </xdr:pic>
    <xdr:clientData/>
  </xdr:twoCellAnchor>
  <xdr:twoCellAnchor editAs="oneCell">
    <xdr:from>
      <xdr:col>6</xdr:col>
      <xdr:colOff>55036</xdr:colOff>
      <xdr:row>15</xdr:row>
      <xdr:rowOff>57150</xdr:rowOff>
    </xdr:from>
    <xdr:to>
      <xdr:col>15</xdr:col>
      <xdr:colOff>344167</xdr:colOff>
      <xdr:row>20</xdr:row>
      <xdr:rowOff>118464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7711" y="3619500"/>
          <a:ext cx="4794456" cy="120431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5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6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66675</xdr:rowOff>
    </xdr:to>
    <xdr:sp macro="" textlink="">
      <xdr:nvSpPr>
        <xdr:cNvPr id="7" name="AutoShape 1" descr="Manometer 63mm für Feldspritze 0-5-25 bar Anschluß unten flüssigdüngerfest"/>
        <xdr:cNvSpPr>
          <a:spLocks noChangeAspect="1" noChangeArrowheads="1"/>
        </xdr:cNvSpPr>
      </xdr:nvSpPr>
      <xdr:spPr bwMode="auto">
        <a:xfrm>
          <a:off x="8429625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1514475</xdr:colOff>
      <xdr:row>1</xdr:row>
      <xdr:rowOff>171450</xdr:rowOff>
    </xdr:to>
    <xdr:sp macro="" textlink="">
      <xdr:nvSpPr>
        <xdr:cNvPr id="8" name="Rahmen 7">
          <a:hlinkClick xmlns:r="http://schemas.openxmlformats.org/officeDocument/2006/relationships" r:id="rId3"/>
        </xdr:cNvPr>
        <xdr:cNvSpPr/>
      </xdr:nvSpPr>
      <xdr:spPr>
        <a:xfrm>
          <a:off x="0" y="0"/>
          <a:ext cx="1514475" cy="400050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600" b="1">
              <a:solidFill>
                <a:schemeClr val="tx1"/>
              </a:solidFill>
            </a:rPr>
            <a:t>ZURÜCK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en\Beratung\Kramer\Brenner\VIK\Transfer\PROMO\VIK\LFP\MES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S"/>
      <sheetName val="Sediment2"/>
      <sheetName val="schweb1"/>
      <sheetName val="Blattbelag"/>
      <sheetName val="AbtriftBoden"/>
      <sheetName val="Sediment"/>
    </sheetNames>
    <sheetDataSet>
      <sheetData sheetId="0">
        <row r="184">
          <cell r="AC184">
            <v>0.5</v>
          </cell>
        </row>
        <row r="185">
          <cell r="AC185">
            <v>1.5</v>
          </cell>
        </row>
        <row r="186">
          <cell r="AC186">
            <v>2.5</v>
          </cell>
        </row>
        <row r="187">
          <cell r="AC187">
            <v>3.5</v>
          </cell>
        </row>
        <row r="188">
          <cell r="AC188">
            <v>4.5</v>
          </cell>
        </row>
        <row r="189">
          <cell r="AC189">
            <v>5.5</v>
          </cell>
        </row>
        <row r="190">
          <cell r="AC190">
            <v>6.5</v>
          </cell>
        </row>
        <row r="191">
          <cell r="AC191">
            <v>7.5</v>
          </cell>
        </row>
        <row r="192">
          <cell r="AC192">
            <v>8.5</v>
          </cell>
        </row>
        <row r="193">
          <cell r="AC193">
            <v>9.5</v>
          </cell>
        </row>
        <row r="194">
          <cell r="AC194">
            <v>10.5</v>
          </cell>
        </row>
        <row r="195">
          <cell r="AC195">
            <v>11.5</v>
          </cell>
        </row>
        <row r="196">
          <cell r="AC196">
            <v>12.5</v>
          </cell>
        </row>
        <row r="197">
          <cell r="AC197">
            <v>13.5</v>
          </cell>
        </row>
        <row r="198">
          <cell r="AC198">
            <v>14.5</v>
          </cell>
        </row>
        <row r="199">
          <cell r="AC199">
            <v>15.5</v>
          </cell>
        </row>
        <row r="200">
          <cell r="AC200">
            <v>16.5</v>
          </cell>
        </row>
        <row r="201">
          <cell r="AC201">
            <v>17.5</v>
          </cell>
        </row>
        <row r="202">
          <cell r="AC202">
            <v>18.5</v>
          </cell>
        </row>
        <row r="203">
          <cell r="AC203">
            <v>19.5</v>
          </cell>
        </row>
        <row r="204">
          <cell r="AC204">
            <v>20.5</v>
          </cell>
        </row>
        <row r="205">
          <cell r="AC205">
            <v>21.5</v>
          </cell>
        </row>
        <row r="206">
          <cell r="AC206">
            <v>22.5</v>
          </cell>
        </row>
        <row r="207">
          <cell r="AC207">
            <v>23.5</v>
          </cell>
        </row>
        <row r="208">
          <cell r="AC208">
            <v>24.5</v>
          </cell>
        </row>
        <row r="209">
          <cell r="AC209">
            <v>25.5</v>
          </cell>
        </row>
        <row r="210">
          <cell r="AC210">
            <v>26.5</v>
          </cell>
        </row>
        <row r="211">
          <cell r="AC211">
            <v>27.5</v>
          </cell>
        </row>
        <row r="212">
          <cell r="AC212">
            <v>28.5</v>
          </cell>
        </row>
        <row r="213">
          <cell r="AC213">
            <v>29.5</v>
          </cell>
        </row>
        <row r="214">
          <cell r="AC214">
            <v>30.5</v>
          </cell>
        </row>
        <row r="215">
          <cell r="AC215">
            <v>31.5</v>
          </cell>
        </row>
        <row r="216">
          <cell r="AC216">
            <v>32.5</v>
          </cell>
        </row>
        <row r="217">
          <cell r="AC217">
            <v>33.5</v>
          </cell>
        </row>
        <row r="218">
          <cell r="AC218">
            <v>34.5</v>
          </cell>
        </row>
        <row r="219">
          <cell r="AC219">
            <v>35.5</v>
          </cell>
        </row>
        <row r="220">
          <cell r="AC220">
            <v>36.5</v>
          </cell>
        </row>
        <row r="221">
          <cell r="AC221">
            <v>37.5</v>
          </cell>
        </row>
        <row r="222">
          <cell r="AC222">
            <v>38.5</v>
          </cell>
        </row>
        <row r="223">
          <cell r="AC223">
            <v>39.5</v>
          </cell>
        </row>
        <row r="224">
          <cell r="AC224">
            <v>40.5</v>
          </cell>
        </row>
        <row r="225">
          <cell r="AC225">
            <v>41.5</v>
          </cell>
        </row>
        <row r="226">
          <cell r="AC226">
            <v>42.5</v>
          </cell>
        </row>
        <row r="227">
          <cell r="AC227">
            <v>43.5</v>
          </cell>
        </row>
        <row r="228">
          <cell r="AC228">
            <v>44.5</v>
          </cell>
        </row>
        <row r="229">
          <cell r="AC229">
            <v>45.5</v>
          </cell>
        </row>
        <row r="230">
          <cell r="AC230">
            <v>46.5</v>
          </cell>
        </row>
        <row r="231">
          <cell r="AC231">
            <v>47.5</v>
          </cell>
        </row>
        <row r="232">
          <cell r="AC232">
            <v>48.5</v>
          </cell>
        </row>
        <row r="233">
          <cell r="AC233">
            <v>49.5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0"/>
  <sheetViews>
    <sheetView showRowColHeaders="0" tabSelected="1" zoomScale="60" zoomScaleNormal="60" workbookViewId="0">
      <pane xSplit="25" ySplit="9" topLeftCell="Z10" activePane="bottomRight" state="frozen"/>
      <selection pane="topRight" activeCell="Z1" sqref="Z1"/>
      <selection pane="bottomLeft" activeCell="A10" sqref="A10"/>
      <selection pane="bottomRight"/>
    </sheetView>
  </sheetViews>
  <sheetFormatPr baseColWidth="10" defaultColWidth="11.44140625" defaultRowHeight="17.399999999999999" x14ac:dyDescent="0.3"/>
  <cols>
    <col min="1" max="1" width="43.5546875" style="11" customWidth="1"/>
    <col min="2" max="7" width="11.44140625" style="11" customWidth="1"/>
    <col min="8" max="13" width="11.44140625" style="11"/>
    <col min="14" max="14" width="12.109375" style="11" bestFit="1" customWidth="1"/>
    <col min="15" max="16384" width="11.44140625" style="11"/>
  </cols>
  <sheetData>
    <row r="1" spans="1:25" ht="21" thickBot="1" x14ac:dyDescent="0.4">
      <c r="A1" s="122"/>
      <c r="B1" s="3"/>
      <c r="C1" s="3"/>
      <c r="D1" s="3"/>
      <c r="E1" s="3"/>
      <c r="F1" s="3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3"/>
      <c r="V1" s="3"/>
      <c r="W1" s="3"/>
      <c r="X1" s="3"/>
      <c r="Y1" s="1"/>
    </row>
    <row r="2" spans="1:25" ht="30" customHeight="1" thickBot="1" x14ac:dyDescent="0.35">
      <c r="A2" s="8">
        <v>200</v>
      </c>
      <c r="B2" s="4" t="s">
        <v>3</v>
      </c>
      <c r="C2" s="24"/>
      <c r="D2" s="24"/>
      <c r="E2" s="24"/>
      <c r="G2" s="150"/>
      <c r="H2" s="151"/>
      <c r="I2" s="152"/>
      <c r="J2" s="152"/>
      <c r="K2" s="152"/>
      <c r="L2" s="152"/>
      <c r="M2" s="152"/>
      <c r="N2" s="152"/>
      <c r="O2" s="155"/>
      <c r="P2" s="155"/>
      <c r="Q2" s="155"/>
      <c r="R2" s="152"/>
      <c r="S2" s="152"/>
      <c r="T2" s="152"/>
      <c r="U2" s="5"/>
      <c r="V2" s="5"/>
      <c r="W2" s="5"/>
      <c r="X2" s="5"/>
      <c r="Y2" s="5"/>
    </row>
    <row r="3" spans="1:25" ht="33.6" thickBot="1" x14ac:dyDescent="0.35">
      <c r="A3" s="44" t="s">
        <v>4</v>
      </c>
      <c r="B3" s="5"/>
      <c r="C3" s="30"/>
      <c r="D3" s="30"/>
      <c r="E3" s="30"/>
      <c r="G3" s="153"/>
      <c r="H3" s="151"/>
      <c r="I3" s="154"/>
      <c r="J3" s="154"/>
      <c r="K3" s="154"/>
      <c r="L3" s="154"/>
      <c r="M3" s="155"/>
      <c r="N3" s="155"/>
      <c r="O3" s="218">
        <f ca="1">YEAR(TODAY())</f>
        <v>2023</v>
      </c>
      <c r="P3" s="218"/>
      <c r="Q3" s="159"/>
      <c r="R3" s="155"/>
      <c r="S3" s="155"/>
      <c r="T3" s="155"/>
      <c r="U3" s="6"/>
      <c r="V3" s="6"/>
      <c r="W3" s="6"/>
      <c r="X3" s="6"/>
      <c r="Y3" s="6"/>
    </row>
    <row r="4" spans="1:25" ht="30" customHeight="1" thickBot="1" x14ac:dyDescent="0.35">
      <c r="A4" s="9">
        <v>17</v>
      </c>
      <c r="B4" s="4" t="s">
        <v>5</v>
      </c>
      <c r="C4" s="51"/>
      <c r="D4" s="51"/>
      <c r="E4" s="51"/>
      <c r="G4" s="156"/>
      <c r="H4" s="151"/>
      <c r="I4" s="152"/>
      <c r="J4" s="152"/>
      <c r="K4" s="152"/>
      <c r="L4" s="152"/>
      <c r="M4" s="157"/>
      <c r="N4" s="157"/>
      <c r="O4" s="157"/>
      <c r="P4" s="157"/>
      <c r="Q4" s="157"/>
      <c r="R4" s="157"/>
      <c r="S4" s="157"/>
      <c r="T4" s="157"/>
      <c r="U4" s="52"/>
      <c r="V4" s="5"/>
      <c r="W4" s="7"/>
      <c r="X4" s="5"/>
      <c r="Y4" s="6"/>
    </row>
    <row r="5" spans="1:25" ht="30" customHeight="1" thickBot="1" x14ac:dyDescent="0.35">
      <c r="A5" s="29">
        <v>50</v>
      </c>
      <c r="B5" s="4" t="s">
        <v>64</v>
      </c>
      <c r="C5" s="31"/>
      <c r="D5" s="31"/>
      <c r="E5" s="31"/>
      <c r="G5" s="158"/>
      <c r="H5" s="151"/>
      <c r="I5" s="152"/>
      <c r="J5" s="152"/>
      <c r="K5" s="152"/>
      <c r="L5" s="152"/>
      <c r="M5" s="157"/>
      <c r="N5" s="157"/>
      <c r="O5" s="157"/>
      <c r="P5" s="157"/>
      <c r="Q5" s="157"/>
      <c r="R5" s="157"/>
      <c r="S5" s="157"/>
      <c r="T5" s="157"/>
      <c r="U5" s="52"/>
      <c r="V5" s="5"/>
      <c r="W5" s="7"/>
      <c r="X5" s="5"/>
      <c r="Y5" s="6"/>
    </row>
    <row r="6" spans="1:25" ht="18" thickBot="1" x14ac:dyDescent="0.35">
      <c r="A6" s="307"/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</row>
    <row r="7" spans="1:25" ht="41.25" customHeight="1" thickBot="1" x14ac:dyDescent="0.35">
      <c r="A7" s="43" t="s">
        <v>0</v>
      </c>
      <c r="B7" s="341" t="str">
        <f>"01"</f>
        <v>01</v>
      </c>
      <c r="C7" s="342"/>
      <c r="D7" s="343"/>
      <c r="E7" s="350" t="str">
        <f>"015"</f>
        <v>015</v>
      </c>
      <c r="F7" s="351"/>
      <c r="G7" s="352"/>
      <c r="H7" s="332" t="str">
        <f>"02"</f>
        <v>02</v>
      </c>
      <c r="I7" s="333"/>
      <c r="J7" s="334"/>
      <c r="K7" s="365" t="str">
        <f>"025"</f>
        <v>025</v>
      </c>
      <c r="L7" s="365"/>
      <c r="M7" s="366"/>
      <c r="N7" s="367" t="str">
        <f>"03"</f>
        <v>03</v>
      </c>
      <c r="O7" s="368"/>
      <c r="P7" s="369"/>
      <c r="Q7" s="370" t="str">
        <f>"04"</f>
        <v>04</v>
      </c>
      <c r="R7" s="371"/>
      <c r="S7" s="372"/>
      <c r="T7" s="373" t="str">
        <f>"05"</f>
        <v>05</v>
      </c>
      <c r="U7" s="374"/>
      <c r="V7" s="374"/>
      <c r="W7" s="375" t="str">
        <f>"06"</f>
        <v>06</v>
      </c>
      <c r="X7" s="376"/>
      <c r="Y7" s="377"/>
    </row>
    <row r="8" spans="1:25" ht="28.5" customHeight="1" thickBot="1" x14ac:dyDescent="0.35">
      <c r="A8" s="43" t="s">
        <v>1</v>
      </c>
      <c r="B8" s="347" t="str">
        <f>IF(POWER((($A$2*($A$5/100)*$A$4)/600)*SQRT(3)/0.4,2)&gt;8,"",POWER((($A$2*($A$5/100)*$A$4)/600)*SQRT(3)/0.4,2))</f>
        <v/>
      </c>
      <c r="C8" s="348"/>
      <c r="D8" s="349"/>
      <c r="E8" s="329" t="str">
        <f>IF(POWER((($A$2*($A$5/100)*$A$4)/600)*SQRT(3)/0.6,2)&gt;8,"",POWER((($A$2*($A$5/100)*$A$4)/600)*SQRT(3)/0.6,2))</f>
        <v/>
      </c>
      <c r="F8" s="330"/>
      <c r="G8" s="331"/>
      <c r="H8" s="329" t="str">
        <f>IF(POWER((($A$2*($A$5/100)*$A$4)/600)*SQRT(3)/0.8,2)&gt;8,"",POWER((($A$2*($A$5/100)*$A$4)/600)*SQRT(3)/0.8,2))</f>
        <v/>
      </c>
      <c r="I8" s="330"/>
      <c r="J8" s="331"/>
      <c r="K8" s="329" t="str">
        <f>IF(POWER((($A$2*($A$5/100)*$A$4)/600)*SQRT(3)/1,2)&gt;8,"",POWER((($A$2*($A$5/100)*$A$4)/600)*SQRT(3)/1,2))</f>
        <v/>
      </c>
      <c r="L8" s="330"/>
      <c r="M8" s="331"/>
      <c r="N8" s="329" t="str">
        <f>IF(POWER((($A$2*($A$5/100)*$A$4)/600)*SQRT(3)/1.2,2)&gt;8,"",POWER((($A$2*($A$5/100)*$A$4)/600)*SQRT(3)/1.2,2))</f>
        <v/>
      </c>
      <c r="O8" s="330"/>
      <c r="P8" s="331"/>
      <c r="Q8" s="329" t="str">
        <f>IF(POWER((($A$2*($A$5/100)*$A$4)/600)*SQRT(3)/1.6,2)&gt;8,"",POWER((($A$2*($A$5/100)*$A$4)/600)*SQRT(3)/1.6,2))</f>
        <v/>
      </c>
      <c r="R8" s="330"/>
      <c r="S8" s="331"/>
      <c r="T8" s="329">
        <f>IF(POWER((($A$2*($A$5/100)*$A$4)/600)*SQRT(3)/2,2)&gt;8,"",POWER((($A$2*($A$5/100)*$A$4)/600)*SQRT(3)/2,2))</f>
        <v>6.020833333333333</v>
      </c>
      <c r="U8" s="330"/>
      <c r="V8" s="331"/>
      <c r="W8" s="329">
        <f>IF(POWER((($A$2*($A$5/100)*$A$4)/600)*SQRT(3)/2.4,2)&gt;8,"",POWER((($A$2*($A$5/100)*$A$4)/600)*SQRT(3)/2.4,2))</f>
        <v>4.1811342592592595</v>
      </c>
      <c r="X8" s="330"/>
      <c r="Y8" s="331"/>
    </row>
    <row r="9" spans="1:25" ht="24" customHeight="1" thickBot="1" x14ac:dyDescent="0.35">
      <c r="A9" s="169" t="s">
        <v>2</v>
      </c>
      <c r="B9" s="344">
        <f>(2.4*SQRT(W8)/SQRT(3))</f>
        <v>2.8333333333333335</v>
      </c>
      <c r="C9" s="345"/>
      <c r="D9" s="345"/>
      <c r="E9" s="345"/>
      <c r="F9" s="345"/>
      <c r="G9" s="345"/>
      <c r="H9" s="345"/>
      <c r="I9" s="345"/>
      <c r="J9" s="345"/>
      <c r="K9" s="345"/>
      <c r="L9" s="345"/>
      <c r="M9" s="345"/>
      <c r="N9" s="345"/>
      <c r="O9" s="345"/>
      <c r="P9" s="345"/>
      <c r="Q9" s="345"/>
      <c r="R9" s="345"/>
      <c r="S9" s="345"/>
      <c r="T9" s="345"/>
      <c r="U9" s="345"/>
      <c r="V9" s="345"/>
      <c r="W9" s="345"/>
      <c r="X9" s="345"/>
      <c r="Y9" s="346"/>
    </row>
    <row r="10" spans="1:25" ht="18" customHeight="1" x14ac:dyDescent="0.3">
      <c r="A10" s="303" t="s">
        <v>6</v>
      </c>
      <c r="B10" s="219"/>
      <c r="C10" s="220"/>
      <c r="D10" s="221"/>
      <c r="E10" s="219"/>
      <c r="F10" s="220"/>
      <c r="G10" s="221"/>
      <c r="H10" s="219"/>
      <c r="I10" s="220"/>
      <c r="J10" s="221"/>
      <c r="K10" s="219"/>
      <c r="L10" s="220"/>
      <c r="M10" s="221"/>
      <c r="N10" s="308"/>
      <c r="O10" s="309"/>
      <c r="P10" s="310"/>
      <c r="Q10" s="317"/>
      <c r="R10" s="318"/>
      <c r="S10" s="319"/>
      <c r="T10" s="297"/>
      <c r="U10" s="298"/>
      <c r="V10" s="299"/>
      <c r="W10" s="291"/>
      <c r="X10" s="292"/>
      <c r="Y10" s="293"/>
    </row>
    <row r="11" spans="1:25" x14ac:dyDescent="0.3">
      <c r="A11" s="304"/>
      <c r="B11" s="222"/>
      <c r="C11" s="223"/>
      <c r="D11" s="224"/>
      <c r="E11" s="222"/>
      <c r="F11" s="223"/>
      <c r="G11" s="224"/>
      <c r="H11" s="222"/>
      <c r="I11" s="223"/>
      <c r="J11" s="224"/>
      <c r="K11" s="222"/>
      <c r="L11" s="223"/>
      <c r="M11" s="224"/>
      <c r="N11" s="311"/>
      <c r="O11" s="312"/>
      <c r="P11" s="313"/>
      <c r="Q11" s="320"/>
      <c r="R11" s="321"/>
      <c r="S11" s="322"/>
      <c r="T11" s="300"/>
      <c r="U11" s="301"/>
      <c r="V11" s="302"/>
      <c r="W11" s="294"/>
      <c r="X11" s="295"/>
      <c r="Y11" s="296"/>
    </row>
    <row r="12" spans="1:25" x14ac:dyDescent="0.3">
      <c r="A12" s="139"/>
      <c r="B12" s="222"/>
      <c r="C12" s="223"/>
      <c r="D12" s="224"/>
      <c r="E12" s="222"/>
      <c r="F12" s="223"/>
      <c r="G12" s="224"/>
      <c r="H12" s="222"/>
      <c r="I12" s="223"/>
      <c r="J12" s="224"/>
      <c r="K12" s="222"/>
      <c r="L12" s="223"/>
      <c r="M12" s="224"/>
      <c r="N12" s="311"/>
      <c r="O12" s="312"/>
      <c r="P12" s="313"/>
      <c r="Q12" s="320"/>
      <c r="R12" s="321"/>
      <c r="S12" s="322"/>
      <c r="T12" s="300"/>
      <c r="U12" s="301"/>
      <c r="V12" s="302"/>
      <c r="W12" s="294"/>
      <c r="X12" s="295"/>
      <c r="Y12" s="296"/>
    </row>
    <row r="13" spans="1:25" ht="18" thickBot="1" x14ac:dyDescent="0.35">
      <c r="A13" s="166" t="s">
        <v>8</v>
      </c>
      <c r="B13" s="225"/>
      <c r="C13" s="226"/>
      <c r="D13" s="227"/>
      <c r="E13" s="225"/>
      <c r="F13" s="226"/>
      <c r="G13" s="227"/>
      <c r="H13" s="225"/>
      <c r="I13" s="226"/>
      <c r="J13" s="227"/>
      <c r="K13" s="225"/>
      <c r="L13" s="226"/>
      <c r="M13" s="227"/>
      <c r="N13" s="314"/>
      <c r="O13" s="315"/>
      <c r="P13" s="316"/>
      <c r="Q13" s="323"/>
      <c r="R13" s="324"/>
      <c r="S13" s="325"/>
      <c r="T13" s="326"/>
      <c r="U13" s="327"/>
      <c r="V13" s="328"/>
      <c r="W13" s="273"/>
      <c r="X13" s="274"/>
      <c r="Y13" s="275"/>
    </row>
    <row r="14" spans="1:25" ht="18" customHeight="1" x14ac:dyDescent="0.3">
      <c r="A14" s="305" t="s">
        <v>7</v>
      </c>
      <c r="B14" s="219"/>
      <c r="C14" s="220"/>
      <c r="D14" s="221"/>
      <c r="E14" s="219"/>
      <c r="F14" s="220"/>
      <c r="G14" s="221"/>
      <c r="H14" s="285"/>
      <c r="I14" s="286"/>
      <c r="J14" s="287"/>
      <c r="K14" s="335"/>
      <c r="L14" s="336"/>
      <c r="M14" s="337"/>
      <c r="N14" s="308"/>
      <c r="O14" s="309"/>
      <c r="P14" s="310"/>
      <c r="Q14" s="317"/>
      <c r="R14" s="318"/>
      <c r="S14" s="319"/>
      <c r="T14" s="297"/>
      <c r="U14" s="298"/>
      <c r="V14" s="299"/>
      <c r="W14" s="291"/>
      <c r="X14" s="292"/>
      <c r="Y14" s="293"/>
    </row>
    <row r="15" spans="1:25" ht="18" customHeight="1" x14ac:dyDescent="0.3">
      <c r="A15" s="306"/>
      <c r="B15" s="222"/>
      <c r="C15" s="223"/>
      <c r="D15" s="224"/>
      <c r="E15" s="222"/>
      <c r="F15" s="223"/>
      <c r="G15" s="224"/>
      <c r="H15" s="288"/>
      <c r="I15" s="289"/>
      <c r="J15" s="290"/>
      <c r="K15" s="338"/>
      <c r="L15" s="339"/>
      <c r="M15" s="340"/>
      <c r="N15" s="311"/>
      <c r="O15" s="312"/>
      <c r="P15" s="313"/>
      <c r="Q15" s="320"/>
      <c r="R15" s="321"/>
      <c r="S15" s="322"/>
      <c r="T15" s="300"/>
      <c r="U15" s="301"/>
      <c r="V15" s="302"/>
      <c r="W15" s="294"/>
      <c r="X15" s="295"/>
      <c r="Y15" s="296"/>
    </row>
    <row r="16" spans="1:25" x14ac:dyDescent="0.3">
      <c r="A16" s="140"/>
      <c r="B16" s="222"/>
      <c r="C16" s="223"/>
      <c r="D16" s="224"/>
      <c r="E16" s="222"/>
      <c r="F16" s="223"/>
      <c r="G16" s="224"/>
      <c r="H16" s="288"/>
      <c r="I16" s="289"/>
      <c r="J16" s="290"/>
      <c r="K16" s="338"/>
      <c r="L16" s="339"/>
      <c r="M16" s="340"/>
      <c r="N16" s="311"/>
      <c r="O16" s="312"/>
      <c r="P16" s="313"/>
      <c r="Q16" s="320"/>
      <c r="R16" s="321"/>
      <c r="S16" s="322"/>
      <c r="T16" s="300"/>
      <c r="U16" s="301"/>
      <c r="V16" s="302"/>
      <c r="W16" s="294"/>
      <c r="X16" s="295"/>
      <c r="Y16" s="296"/>
    </row>
    <row r="17" spans="1:25" ht="18" thickBot="1" x14ac:dyDescent="0.35">
      <c r="A17" s="141" t="s">
        <v>8</v>
      </c>
      <c r="B17" s="225"/>
      <c r="C17" s="226"/>
      <c r="D17" s="227"/>
      <c r="E17" s="225"/>
      <c r="F17" s="226"/>
      <c r="G17" s="227"/>
      <c r="H17" s="353"/>
      <c r="I17" s="354"/>
      <c r="J17" s="355"/>
      <c r="K17" s="356"/>
      <c r="L17" s="357"/>
      <c r="M17" s="358"/>
      <c r="N17" s="314"/>
      <c r="O17" s="315"/>
      <c r="P17" s="316"/>
      <c r="Q17" s="323"/>
      <c r="R17" s="324"/>
      <c r="S17" s="325"/>
      <c r="T17" s="326"/>
      <c r="U17" s="327"/>
      <c r="V17" s="328"/>
      <c r="W17" s="273"/>
      <c r="X17" s="274"/>
      <c r="Y17" s="275"/>
    </row>
    <row r="18" spans="1:25" x14ac:dyDescent="0.3">
      <c r="A18" s="160"/>
      <c r="B18" s="219"/>
      <c r="C18" s="220"/>
      <c r="D18" s="221"/>
      <c r="E18" s="219"/>
      <c r="F18" s="220"/>
      <c r="G18" s="221"/>
      <c r="H18" s="219"/>
      <c r="I18" s="220"/>
      <c r="J18" s="221"/>
      <c r="K18" s="335"/>
      <c r="L18" s="336"/>
      <c r="M18" s="337"/>
      <c r="N18" s="308"/>
      <c r="O18" s="309"/>
      <c r="P18" s="310"/>
      <c r="Q18" s="317"/>
      <c r="R18" s="318"/>
      <c r="S18" s="319"/>
      <c r="T18" s="297"/>
      <c r="U18" s="298"/>
      <c r="V18" s="299"/>
      <c r="W18" s="291"/>
      <c r="X18" s="292"/>
      <c r="Y18" s="293"/>
    </row>
    <row r="19" spans="1:25" x14ac:dyDescent="0.3">
      <c r="A19" s="161"/>
      <c r="B19" s="222"/>
      <c r="C19" s="223"/>
      <c r="D19" s="224"/>
      <c r="E19" s="222"/>
      <c r="F19" s="223"/>
      <c r="G19" s="224"/>
      <c r="H19" s="222"/>
      <c r="I19" s="223"/>
      <c r="J19" s="224"/>
      <c r="K19" s="338"/>
      <c r="L19" s="339"/>
      <c r="M19" s="340"/>
      <c r="N19" s="311"/>
      <c r="O19" s="312"/>
      <c r="P19" s="313"/>
      <c r="Q19" s="320"/>
      <c r="R19" s="321"/>
      <c r="S19" s="322"/>
      <c r="T19" s="300"/>
      <c r="U19" s="301"/>
      <c r="V19" s="302"/>
      <c r="W19" s="294"/>
      <c r="X19" s="295"/>
      <c r="Y19" s="296"/>
    </row>
    <row r="20" spans="1:25" x14ac:dyDescent="0.3">
      <c r="A20" s="161"/>
      <c r="B20" s="222"/>
      <c r="C20" s="223"/>
      <c r="D20" s="224"/>
      <c r="E20" s="222"/>
      <c r="F20" s="223"/>
      <c r="G20" s="224"/>
      <c r="H20" s="222"/>
      <c r="I20" s="223"/>
      <c r="J20" s="224"/>
      <c r="K20" s="338"/>
      <c r="L20" s="339"/>
      <c r="M20" s="340"/>
      <c r="N20" s="311"/>
      <c r="O20" s="312"/>
      <c r="P20" s="313"/>
      <c r="Q20" s="320"/>
      <c r="R20" s="321"/>
      <c r="S20" s="322"/>
      <c r="T20" s="300"/>
      <c r="U20" s="301"/>
      <c r="V20" s="302"/>
      <c r="W20" s="294"/>
      <c r="X20" s="295"/>
      <c r="Y20" s="296"/>
    </row>
    <row r="21" spans="1:25" ht="18" thickBot="1" x14ac:dyDescent="0.35">
      <c r="A21" s="165" t="s">
        <v>235</v>
      </c>
      <c r="B21" s="225"/>
      <c r="C21" s="226"/>
      <c r="D21" s="227"/>
      <c r="E21" s="225"/>
      <c r="F21" s="226"/>
      <c r="G21" s="227"/>
      <c r="H21" s="225"/>
      <c r="I21" s="226"/>
      <c r="J21" s="227"/>
      <c r="K21" s="356"/>
      <c r="L21" s="357"/>
      <c r="M21" s="358"/>
      <c r="N21" s="314"/>
      <c r="O21" s="315"/>
      <c r="P21" s="316"/>
      <c r="Q21" s="323"/>
      <c r="R21" s="324"/>
      <c r="S21" s="325"/>
      <c r="T21" s="326"/>
      <c r="U21" s="327"/>
      <c r="V21" s="328"/>
      <c r="W21" s="273"/>
      <c r="X21" s="274"/>
      <c r="Y21" s="275"/>
    </row>
    <row r="22" spans="1:25" ht="18" customHeight="1" x14ac:dyDescent="0.3">
      <c r="A22" s="162"/>
      <c r="B22" s="219"/>
      <c r="C22" s="220"/>
      <c r="D22" s="221"/>
      <c r="E22" s="219"/>
      <c r="F22" s="220"/>
      <c r="G22" s="221"/>
      <c r="H22" s="285"/>
      <c r="I22" s="286"/>
      <c r="J22" s="287"/>
      <c r="K22" s="335"/>
      <c r="L22" s="336"/>
      <c r="M22" s="337"/>
      <c r="N22" s="308"/>
      <c r="O22" s="309"/>
      <c r="P22" s="310"/>
      <c r="Q22" s="317"/>
      <c r="R22" s="318"/>
      <c r="S22" s="319"/>
      <c r="T22" s="297"/>
      <c r="U22" s="298"/>
      <c r="V22" s="299"/>
      <c r="W22" s="264"/>
      <c r="X22" s="265"/>
      <c r="Y22" s="266"/>
    </row>
    <row r="23" spans="1:25" x14ac:dyDescent="0.3">
      <c r="A23" s="163"/>
      <c r="B23" s="222"/>
      <c r="C23" s="223"/>
      <c r="D23" s="224"/>
      <c r="E23" s="222"/>
      <c r="F23" s="223"/>
      <c r="G23" s="224"/>
      <c r="H23" s="288"/>
      <c r="I23" s="289"/>
      <c r="J23" s="290"/>
      <c r="K23" s="338"/>
      <c r="L23" s="339"/>
      <c r="M23" s="340"/>
      <c r="N23" s="311"/>
      <c r="O23" s="312"/>
      <c r="P23" s="313"/>
      <c r="Q23" s="320"/>
      <c r="R23" s="321"/>
      <c r="S23" s="322"/>
      <c r="T23" s="300"/>
      <c r="U23" s="301"/>
      <c r="V23" s="302"/>
      <c r="W23" s="267"/>
      <c r="X23" s="268"/>
      <c r="Y23" s="269"/>
    </row>
    <row r="24" spans="1:25" x14ac:dyDescent="0.3">
      <c r="A24" s="163"/>
      <c r="B24" s="222"/>
      <c r="C24" s="223"/>
      <c r="D24" s="224"/>
      <c r="E24" s="222"/>
      <c r="F24" s="223"/>
      <c r="G24" s="224"/>
      <c r="H24" s="288"/>
      <c r="I24" s="289"/>
      <c r="J24" s="290"/>
      <c r="K24" s="338"/>
      <c r="L24" s="339"/>
      <c r="M24" s="340"/>
      <c r="N24" s="311"/>
      <c r="O24" s="312"/>
      <c r="P24" s="313"/>
      <c r="Q24" s="320"/>
      <c r="R24" s="321"/>
      <c r="S24" s="322"/>
      <c r="T24" s="300"/>
      <c r="U24" s="301"/>
      <c r="V24" s="302"/>
      <c r="W24" s="267"/>
      <c r="X24" s="268"/>
      <c r="Y24" s="269"/>
    </row>
    <row r="25" spans="1:25" ht="18" thickBot="1" x14ac:dyDescent="0.35">
      <c r="A25" s="164" t="s">
        <v>235</v>
      </c>
      <c r="B25" s="225"/>
      <c r="C25" s="226"/>
      <c r="D25" s="227"/>
      <c r="E25" s="225"/>
      <c r="F25" s="226"/>
      <c r="G25" s="227"/>
      <c r="H25" s="353"/>
      <c r="I25" s="354"/>
      <c r="J25" s="355"/>
      <c r="K25" s="356"/>
      <c r="L25" s="357"/>
      <c r="M25" s="358"/>
      <c r="N25" s="314"/>
      <c r="O25" s="315"/>
      <c r="P25" s="316"/>
      <c r="Q25" s="323"/>
      <c r="R25" s="324"/>
      <c r="S25" s="325"/>
      <c r="T25" s="326"/>
      <c r="U25" s="327"/>
      <c r="V25" s="328"/>
      <c r="W25" s="270"/>
      <c r="X25" s="271"/>
      <c r="Y25" s="272"/>
    </row>
    <row r="26" spans="1:25" ht="18" thickBot="1" x14ac:dyDescent="0.35"/>
    <row r="27" spans="1:25" x14ac:dyDescent="0.3">
      <c r="A27" s="362"/>
      <c r="B27" s="276"/>
      <c r="C27" s="277"/>
      <c r="D27" s="278"/>
      <c r="E27" s="276"/>
      <c r="F27" s="277"/>
      <c r="G27" s="278"/>
      <c r="H27" s="285"/>
      <c r="I27" s="286"/>
      <c r="J27" s="287"/>
      <c r="K27" s="228"/>
      <c r="L27" s="229"/>
      <c r="M27" s="230"/>
      <c r="N27" s="219"/>
      <c r="O27" s="220"/>
      <c r="P27" s="221"/>
      <c r="Q27" s="246"/>
      <c r="R27" s="247"/>
      <c r="S27" s="248"/>
      <c r="T27" s="219"/>
      <c r="U27" s="220"/>
      <c r="V27" s="221"/>
      <c r="W27" s="219"/>
      <c r="X27" s="220"/>
      <c r="Y27" s="221"/>
    </row>
    <row r="28" spans="1:25" x14ac:dyDescent="0.3">
      <c r="A28" s="363"/>
      <c r="B28" s="279"/>
      <c r="C28" s="280"/>
      <c r="D28" s="281"/>
      <c r="E28" s="279"/>
      <c r="F28" s="280"/>
      <c r="G28" s="281"/>
      <c r="H28" s="288"/>
      <c r="I28" s="289"/>
      <c r="J28" s="290"/>
      <c r="K28" s="231"/>
      <c r="L28" s="232"/>
      <c r="M28" s="233"/>
      <c r="N28" s="222"/>
      <c r="O28" s="223"/>
      <c r="P28" s="224"/>
      <c r="Q28" s="249"/>
      <c r="R28" s="250"/>
      <c r="S28" s="251"/>
      <c r="T28" s="222"/>
      <c r="U28" s="223"/>
      <c r="V28" s="224"/>
      <c r="W28" s="222"/>
      <c r="X28" s="223"/>
      <c r="Y28" s="224"/>
    </row>
    <row r="29" spans="1:25" x14ac:dyDescent="0.3">
      <c r="A29" s="363"/>
      <c r="B29" s="279"/>
      <c r="C29" s="280"/>
      <c r="D29" s="281"/>
      <c r="E29" s="279"/>
      <c r="F29" s="280"/>
      <c r="G29" s="281"/>
      <c r="H29" s="288"/>
      <c r="I29" s="289"/>
      <c r="J29" s="290"/>
      <c r="K29" s="231"/>
      <c r="L29" s="232"/>
      <c r="M29" s="233"/>
      <c r="N29" s="222"/>
      <c r="O29" s="223"/>
      <c r="P29" s="224"/>
      <c r="Q29" s="249"/>
      <c r="R29" s="250"/>
      <c r="S29" s="251"/>
      <c r="T29" s="222"/>
      <c r="U29" s="223"/>
      <c r="V29" s="224"/>
      <c r="W29" s="222"/>
      <c r="X29" s="223"/>
      <c r="Y29" s="224"/>
    </row>
    <row r="30" spans="1:25" ht="18" thickBot="1" x14ac:dyDescent="0.35">
      <c r="A30" s="364"/>
      <c r="B30" s="282"/>
      <c r="C30" s="283"/>
      <c r="D30" s="284"/>
      <c r="E30" s="282"/>
      <c r="F30" s="283"/>
      <c r="G30" s="284"/>
      <c r="H30" s="353"/>
      <c r="I30" s="354"/>
      <c r="J30" s="355"/>
      <c r="K30" s="234"/>
      <c r="L30" s="235"/>
      <c r="M30" s="236"/>
      <c r="N30" s="225"/>
      <c r="O30" s="226"/>
      <c r="P30" s="227"/>
      <c r="Q30" s="252"/>
      <c r="R30" s="253"/>
      <c r="S30" s="254"/>
      <c r="T30" s="225"/>
      <c r="U30" s="226"/>
      <c r="V30" s="227"/>
      <c r="W30" s="225"/>
      <c r="X30" s="226"/>
      <c r="Y30" s="227"/>
    </row>
    <row r="31" spans="1:25" ht="18" thickBot="1" x14ac:dyDescent="0.35">
      <c r="A31" s="142"/>
      <c r="B31" s="143"/>
      <c r="C31" s="144"/>
      <c r="D31" s="145"/>
      <c r="E31" s="143"/>
      <c r="F31" s="144"/>
      <c r="G31" s="145"/>
      <c r="H31" s="143"/>
      <c r="I31" s="144"/>
      <c r="J31" s="145"/>
      <c r="K31" s="146"/>
      <c r="L31" s="147"/>
      <c r="M31" s="148"/>
      <c r="N31" s="146"/>
      <c r="O31" s="147"/>
      <c r="P31" s="148"/>
      <c r="Q31" s="146"/>
      <c r="R31" s="147"/>
      <c r="S31" s="148"/>
      <c r="T31" s="146"/>
      <c r="U31" s="147"/>
      <c r="V31" s="148"/>
      <c r="W31" s="146"/>
      <c r="X31" s="147"/>
      <c r="Y31" s="148"/>
    </row>
    <row r="32" spans="1:25" x14ac:dyDescent="0.3">
      <c r="A32" s="359"/>
      <c r="B32" s="276"/>
      <c r="C32" s="277"/>
      <c r="D32" s="278"/>
      <c r="E32" s="276"/>
      <c r="F32" s="277"/>
      <c r="G32" s="278"/>
      <c r="H32" s="285"/>
      <c r="I32" s="286"/>
      <c r="J32" s="287"/>
      <c r="K32" s="219"/>
      <c r="L32" s="220"/>
      <c r="M32" s="221"/>
      <c r="N32" s="308"/>
      <c r="O32" s="309"/>
      <c r="P32" s="310"/>
      <c r="Q32" s="317"/>
      <c r="R32" s="318"/>
      <c r="S32" s="319"/>
      <c r="T32" s="219"/>
      <c r="U32" s="220"/>
      <c r="V32" s="221"/>
      <c r="W32" s="219"/>
      <c r="X32" s="220"/>
      <c r="Y32" s="221"/>
    </row>
    <row r="33" spans="1:25" x14ac:dyDescent="0.3">
      <c r="A33" s="360"/>
      <c r="B33" s="279"/>
      <c r="C33" s="280"/>
      <c r="D33" s="281"/>
      <c r="E33" s="279"/>
      <c r="F33" s="280"/>
      <c r="G33" s="281"/>
      <c r="H33" s="288"/>
      <c r="I33" s="289"/>
      <c r="J33" s="290"/>
      <c r="K33" s="222"/>
      <c r="L33" s="223"/>
      <c r="M33" s="224"/>
      <c r="N33" s="311"/>
      <c r="O33" s="312"/>
      <c r="P33" s="313"/>
      <c r="Q33" s="320"/>
      <c r="R33" s="321"/>
      <c r="S33" s="322"/>
      <c r="T33" s="222"/>
      <c r="U33" s="223"/>
      <c r="V33" s="224"/>
      <c r="W33" s="222"/>
      <c r="X33" s="223"/>
      <c r="Y33" s="224"/>
    </row>
    <row r="34" spans="1:25" x14ac:dyDescent="0.3">
      <c r="A34" s="360"/>
      <c r="B34" s="279"/>
      <c r="C34" s="280"/>
      <c r="D34" s="281"/>
      <c r="E34" s="279"/>
      <c r="F34" s="280"/>
      <c r="G34" s="281"/>
      <c r="H34" s="288"/>
      <c r="I34" s="289"/>
      <c r="J34" s="290"/>
      <c r="K34" s="222"/>
      <c r="L34" s="223"/>
      <c r="M34" s="224"/>
      <c r="N34" s="311"/>
      <c r="O34" s="312"/>
      <c r="P34" s="313"/>
      <c r="Q34" s="320"/>
      <c r="R34" s="321"/>
      <c r="S34" s="322"/>
      <c r="T34" s="222"/>
      <c r="U34" s="223"/>
      <c r="V34" s="224"/>
      <c r="W34" s="222"/>
      <c r="X34" s="223"/>
      <c r="Y34" s="224"/>
    </row>
    <row r="35" spans="1:25" ht="18" thickBot="1" x14ac:dyDescent="0.35">
      <c r="A35" s="361"/>
      <c r="B35" s="282"/>
      <c r="C35" s="283"/>
      <c r="D35" s="284"/>
      <c r="E35" s="282"/>
      <c r="F35" s="283"/>
      <c r="G35" s="284"/>
      <c r="H35" s="353"/>
      <c r="I35" s="354"/>
      <c r="J35" s="355"/>
      <c r="K35" s="225"/>
      <c r="L35" s="226"/>
      <c r="M35" s="227"/>
      <c r="N35" s="314"/>
      <c r="O35" s="315"/>
      <c r="P35" s="316"/>
      <c r="Q35" s="323"/>
      <c r="R35" s="324"/>
      <c r="S35" s="325"/>
      <c r="T35" s="225"/>
      <c r="U35" s="226"/>
      <c r="V35" s="227"/>
      <c r="W35" s="225"/>
      <c r="X35" s="226"/>
      <c r="Y35" s="227"/>
    </row>
    <row r="36" spans="1:25" ht="18" thickBot="1" x14ac:dyDescent="0.35"/>
    <row r="37" spans="1:25" x14ac:dyDescent="0.3">
      <c r="A37" s="378"/>
      <c r="B37" s="219"/>
      <c r="C37" s="220"/>
      <c r="D37" s="221"/>
      <c r="E37" s="219"/>
      <c r="F37" s="220"/>
      <c r="G37" s="221"/>
      <c r="H37" s="219"/>
      <c r="I37" s="220"/>
      <c r="J37" s="221"/>
      <c r="K37" s="228"/>
      <c r="L37" s="229"/>
      <c r="M37" s="230"/>
      <c r="N37" s="237"/>
      <c r="O37" s="238"/>
      <c r="P37" s="239"/>
      <c r="Q37" s="246"/>
      <c r="R37" s="247"/>
      <c r="S37" s="248"/>
      <c r="T37" s="255"/>
      <c r="U37" s="256"/>
      <c r="V37" s="257"/>
      <c r="W37" s="264"/>
      <c r="X37" s="265"/>
      <c r="Y37" s="266"/>
    </row>
    <row r="38" spans="1:25" x14ac:dyDescent="0.3">
      <c r="A38" s="379"/>
      <c r="B38" s="222"/>
      <c r="C38" s="223"/>
      <c r="D38" s="224"/>
      <c r="E38" s="222"/>
      <c r="F38" s="223"/>
      <c r="G38" s="224"/>
      <c r="H38" s="222"/>
      <c r="I38" s="223"/>
      <c r="J38" s="224"/>
      <c r="K38" s="231"/>
      <c r="L38" s="232"/>
      <c r="M38" s="233"/>
      <c r="N38" s="240"/>
      <c r="O38" s="241"/>
      <c r="P38" s="242"/>
      <c r="Q38" s="249"/>
      <c r="R38" s="250"/>
      <c r="S38" s="251"/>
      <c r="T38" s="258"/>
      <c r="U38" s="259"/>
      <c r="V38" s="260"/>
      <c r="W38" s="267"/>
      <c r="X38" s="268"/>
      <c r="Y38" s="269"/>
    </row>
    <row r="39" spans="1:25" x14ac:dyDescent="0.3">
      <c r="A39" s="379"/>
      <c r="B39" s="222"/>
      <c r="C39" s="223"/>
      <c r="D39" s="224"/>
      <c r="E39" s="222"/>
      <c r="F39" s="223"/>
      <c r="G39" s="224"/>
      <c r="H39" s="222"/>
      <c r="I39" s="223"/>
      <c r="J39" s="224"/>
      <c r="K39" s="231"/>
      <c r="L39" s="232"/>
      <c r="M39" s="233"/>
      <c r="N39" s="240"/>
      <c r="O39" s="241"/>
      <c r="P39" s="242"/>
      <c r="Q39" s="249"/>
      <c r="R39" s="250"/>
      <c r="S39" s="251"/>
      <c r="T39" s="258"/>
      <c r="U39" s="259"/>
      <c r="V39" s="260"/>
      <c r="W39" s="267"/>
      <c r="X39" s="268"/>
      <c r="Y39" s="269"/>
    </row>
    <row r="40" spans="1:25" ht="18" thickBot="1" x14ac:dyDescent="0.35">
      <c r="A40" s="380"/>
      <c r="B40" s="225"/>
      <c r="C40" s="226"/>
      <c r="D40" s="227"/>
      <c r="E40" s="225"/>
      <c r="F40" s="226"/>
      <c r="G40" s="227"/>
      <c r="H40" s="225"/>
      <c r="I40" s="226"/>
      <c r="J40" s="227"/>
      <c r="K40" s="234"/>
      <c r="L40" s="235"/>
      <c r="M40" s="236"/>
      <c r="N40" s="243"/>
      <c r="O40" s="244"/>
      <c r="P40" s="245"/>
      <c r="Q40" s="252"/>
      <c r="R40" s="253"/>
      <c r="S40" s="254"/>
      <c r="T40" s="261"/>
      <c r="U40" s="262"/>
      <c r="V40" s="263"/>
      <c r="W40" s="270"/>
      <c r="X40" s="271"/>
      <c r="Y40" s="272"/>
    </row>
    <row r="41" spans="1:25" ht="18" thickBot="1" x14ac:dyDescent="0.35"/>
    <row r="42" spans="1:25" x14ac:dyDescent="0.3">
      <c r="A42" s="378"/>
      <c r="B42" s="219"/>
      <c r="C42" s="220"/>
      <c r="D42" s="221"/>
      <c r="E42" s="219"/>
      <c r="F42" s="220"/>
      <c r="G42" s="221"/>
      <c r="H42" s="219"/>
      <c r="I42" s="220"/>
      <c r="J42" s="221"/>
      <c r="K42" s="219"/>
      <c r="L42" s="220"/>
      <c r="M42" s="221"/>
      <c r="N42" s="219"/>
      <c r="O42" s="220"/>
      <c r="P42" s="221"/>
      <c r="Q42" s="246"/>
      <c r="R42" s="247"/>
      <c r="S42" s="248"/>
      <c r="T42" s="255"/>
      <c r="U42" s="256"/>
      <c r="V42" s="257"/>
      <c r="W42" s="264"/>
      <c r="X42" s="265"/>
      <c r="Y42" s="266"/>
    </row>
    <row r="43" spans="1:25" x14ac:dyDescent="0.3">
      <c r="A43" s="379"/>
      <c r="B43" s="222"/>
      <c r="C43" s="223"/>
      <c r="D43" s="224"/>
      <c r="E43" s="222"/>
      <c r="F43" s="223"/>
      <c r="G43" s="224"/>
      <c r="H43" s="222"/>
      <c r="I43" s="223"/>
      <c r="J43" s="224"/>
      <c r="K43" s="222"/>
      <c r="L43" s="223"/>
      <c r="M43" s="224"/>
      <c r="N43" s="222"/>
      <c r="O43" s="223"/>
      <c r="P43" s="224"/>
      <c r="Q43" s="249"/>
      <c r="R43" s="250"/>
      <c r="S43" s="251"/>
      <c r="T43" s="258"/>
      <c r="U43" s="259"/>
      <c r="V43" s="260"/>
      <c r="W43" s="267"/>
      <c r="X43" s="268"/>
      <c r="Y43" s="269"/>
    </row>
    <row r="44" spans="1:25" x14ac:dyDescent="0.3">
      <c r="A44" s="379"/>
      <c r="B44" s="222"/>
      <c r="C44" s="223"/>
      <c r="D44" s="224"/>
      <c r="E44" s="222"/>
      <c r="F44" s="223"/>
      <c r="G44" s="224"/>
      <c r="H44" s="222"/>
      <c r="I44" s="223"/>
      <c r="J44" s="224"/>
      <c r="K44" s="222"/>
      <c r="L44" s="223"/>
      <c r="M44" s="224"/>
      <c r="N44" s="222"/>
      <c r="O44" s="223"/>
      <c r="P44" s="224"/>
      <c r="Q44" s="249"/>
      <c r="R44" s="250"/>
      <c r="S44" s="251"/>
      <c r="T44" s="258"/>
      <c r="U44" s="259"/>
      <c r="V44" s="260"/>
      <c r="W44" s="267"/>
      <c r="X44" s="268"/>
      <c r="Y44" s="269"/>
    </row>
    <row r="45" spans="1:25" ht="18" thickBot="1" x14ac:dyDescent="0.35">
      <c r="A45" s="380"/>
      <c r="B45" s="225"/>
      <c r="C45" s="226"/>
      <c r="D45" s="227"/>
      <c r="E45" s="225"/>
      <c r="F45" s="226"/>
      <c r="G45" s="227"/>
      <c r="H45" s="225"/>
      <c r="I45" s="226"/>
      <c r="J45" s="227"/>
      <c r="K45" s="225"/>
      <c r="L45" s="226"/>
      <c r="M45" s="227"/>
      <c r="N45" s="225"/>
      <c r="O45" s="226"/>
      <c r="P45" s="227"/>
      <c r="Q45" s="252"/>
      <c r="R45" s="253"/>
      <c r="S45" s="254"/>
      <c r="T45" s="261"/>
      <c r="U45" s="262"/>
      <c r="V45" s="263"/>
      <c r="W45" s="270"/>
      <c r="X45" s="271"/>
      <c r="Y45" s="272"/>
    </row>
    <row r="46" spans="1:25" ht="18" thickBot="1" x14ac:dyDescent="0.35"/>
    <row r="47" spans="1:25" x14ac:dyDescent="0.3">
      <c r="A47" s="378"/>
      <c r="B47" s="219"/>
      <c r="C47" s="220"/>
      <c r="D47" s="221"/>
      <c r="E47" s="219"/>
      <c r="F47" s="220"/>
      <c r="G47" s="221"/>
      <c r="H47" s="219"/>
      <c r="I47" s="220"/>
      <c r="J47" s="221"/>
      <c r="K47" s="219"/>
      <c r="L47" s="220"/>
      <c r="M47" s="221"/>
      <c r="N47" s="219"/>
      <c r="O47" s="220"/>
      <c r="P47" s="221"/>
      <c r="Q47" s="246"/>
      <c r="R47" s="247"/>
      <c r="S47" s="248"/>
      <c r="T47" s="255"/>
      <c r="U47" s="256"/>
      <c r="V47" s="257"/>
      <c r="W47" s="264"/>
      <c r="X47" s="265"/>
      <c r="Y47" s="266"/>
    </row>
    <row r="48" spans="1:25" x14ac:dyDescent="0.3">
      <c r="A48" s="379"/>
      <c r="B48" s="222"/>
      <c r="C48" s="223"/>
      <c r="D48" s="224"/>
      <c r="E48" s="222"/>
      <c r="F48" s="223"/>
      <c r="G48" s="224"/>
      <c r="H48" s="222"/>
      <c r="I48" s="223"/>
      <c r="J48" s="224"/>
      <c r="K48" s="222"/>
      <c r="L48" s="223"/>
      <c r="M48" s="224"/>
      <c r="N48" s="222"/>
      <c r="O48" s="223"/>
      <c r="P48" s="224"/>
      <c r="Q48" s="249"/>
      <c r="R48" s="250"/>
      <c r="S48" s="251"/>
      <c r="T48" s="258"/>
      <c r="U48" s="259"/>
      <c r="V48" s="260"/>
      <c r="W48" s="267"/>
      <c r="X48" s="268"/>
      <c r="Y48" s="269"/>
    </row>
    <row r="49" spans="1:25" x14ac:dyDescent="0.3">
      <c r="A49" s="379"/>
      <c r="B49" s="222"/>
      <c r="C49" s="223"/>
      <c r="D49" s="224"/>
      <c r="E49" s="222"/>
      <c r="F49" s="223"/>
      <c r="G49" s="224"/>
      <c r="H49" s="222"/>
      <c r="I49" s="223"/>
      <c r="J49" s="224"/>
      <c r="K49" s="222"/>
      <c r="L49" s="223"/>
      <c r="M49" s="224"/>
      <c r="N49" s="222"/>
      <c r="O49" s="223"/>
      <c r="P49" s="224"/>
      <c r="Q49" s="249"/>
      <c r="R49" s="250"/>
      <c r="S49" s="251"/>
      <c r="T49" s="258"/>
      <c r="U49" s="259"/>
      <c r="V49" s="260"/>
      <c r="W49" s="267"/>
      <c r="X49" s="268"/>
      <c r="Y49" s="269"/>
    </row>
    <row r="50" spans="1:25" ht="18" thickBot="1" x14ac:dyDescent="0.35">
      <c r="A50" s="380"/>
      <c r="B50" s="225"/>
      <c r="C50" s="226"/>
      <c r="D50" s="227"/>
      <c r="E50" s="225"/>
      <c r="F50" s="226"/>
      <c r="G50" s="227"/>
      <c r="H50" s="225"/>
      <c r="I50" s="226"/>
      <c r="J50" s="227"/>
      <c r="K50" s="225"/>
      <c r="L50" s="226"/>
      <c r="M50" s="227"/>
      <c r="N50" s="225"/>
      <c r="O50" s="226"/>
      <c r="P50" s="227"/>
      <c r="Q50" s="252"/>
      <c r="R50" s="253"/>
      <c r="S50" s="254"/>
      <c r="T50" s="261"/>
      <c r="U50" s="262"/>
      <c r="V50" s="263"/>
      <c r="W50" s="270"/>
      <c r="X50" s="271"/>
      <c r="Y50" s="272"/>
    </row>
    <row r="51" spans="1:25" ht="18" thickBot="1" x14ac:dyDescent="0.35"/>
    <row r="52" spans="1:25" x14ac:dyDescent="0.3">
      <c r="A52" s="378"/>
      <c r="B52" s="219"/>
      <c r="C52" s="220"/>
      <c r="D52" s="221"/>
      <c r="E52" s="219"/>
      <c r="F52" s="220"/>
      <c r="G52" s="221"/>
      <c r="H52" s="219"/>
      <c r="I52" s="220"/>
      <c r="J52" s="221"/>
      <c r="K52" s="228"/>
      <c r="L52" s="229"/>
      <c r="M52" s="230"/>
      <c r="N52" s="237"/>
      <c r="O52" s="238"/>
      <c r="P52" s="239"/>
      <c r="Q52" s="246"/>
      <c r="R52" s="247"/>
      <c r="S52" s="248"/>
      <c r="T52" s="255"/>
      <c r="U52" s="256"/>
      <c r="V52" s="257"/>
      <c r="W52" s="219"/>
      <c r="X52" s="220"/>
      <c r="Y52" s="221"/>
    </row>
    <row r="53" spans="1:25" x14ac:dyDescent="0.3">
      <c r="A53" s="379"/>
      <c r="B53" s="222"/>
      <c r="C53" s="223"/>
      <c r="D53" s="224"/>
      <c r="E53" s="222"/>
      <c r="F53" s="223"/>
      <c r="G53" s="224"/>
      <c r="H53" s="222"/>
      <c r="I53" s="223"/>
      <c r="J53" s="224"/>
      <c r="K53" s="231"/>
      <c r="L53" s="232"/>
      <c r="M53" s="233"/>
      <c r="N53" s="240"/>
      <c r="O53" s="241"/>
      <c r="P53" s="242"/>
      <c r="Q53" s="249"/>
      <c r="R53" s="250"/>
      <c r="S53" s="251"/>
      <c r="T53" s="258"/>
      <c r="U53" s="259"/>
      <c r="V53" s="260"/>
      <c r="W53" s="222"/>
      <c r="X53" s="223"/>
      <c r="Y53" s="224"/>
    </row>
    <row r="54" spans="1:25" x14ac:dyDescent="0.3">
      <c r="A54" s="379"/>
      <c r="B54" s="222"/>
      <c r="C54" s="223"/>
      <c r="D54" s="224"/>
      <c r="E54" s="222"/>
      <c r="F54" s="223"/>
      <c r="G54" s="224"/>
      <c r="H54" s="222"/>
      <c r="I54" s="223"/>
      <c r="J54" s="224"/>
      <c r="K54" s="231"/>
      <c r="L54" s="232"/>
      <c r="M54" s="233"/>
      <c r="N54" s="240"/>
      <c r="O54" s="241"/>
      <c r="P54" s="242"/>
      <c r="Q54" s="249"/>
      <c r="R54" s="250"/>
      <c r="S54" s="251"/>
      <c r="T54" s="258"/>
      <c r="U54" s="259"/>
      <c r="V54" s="260"/>
      <c r="W54" s="222"/>
      <c r="X54" s="223"/>
      <c r="Y54" s="224"/>
    </row>
    <row r="55" spans="1:25" ht="18" thickBot="1" x14ac:dyDescent="0.35">
      <c r="A55" s="380"/>
      <c r="B55" s="225"/>
      <c r="C55" s="226"/>
      <c r="D55" s="227"/>
      <c r="E55" s="225"/>
      <c r="F55" s="226"/>
      <c r="G55" s="227"/>
      <c r="H55" s="225"/>
      <c r="I55" s="226"/>
      <c r="J55" s="227"/>
      <c r="K55" s="234"/>
      <c r="L55" s="235"/>
      <c r="M55" s="236"/>
      <c r="N55" s="243"/>
      <c r="O55" s="244"/>
      <c r="P55" s="245"/>
      <c r="Q55" s="252"/>
      <c r="R55" s="253"/>
      <c r="S55" s="254"/>
      <c r="T55" s="261"/>
      <c r="U55" s="262"/>
      <c r="V55" s="263"/>
      <c r="W55" s="225"/>
      <c r="X55" s="226"/>
      <c r="Y55" s="227"/>
    </row>
    <row r="56" spans="1:25" ht="18" thickBot="1" x14ac:dyDescent="0.35"/>
    <row r="57" spans="1:25" x14ac:dyDescent="0.3">
      <c r="A57" s="378"/>
      <c r="B57" s="219"/>
      <c r="C57" s="220"/>
      <c r="D57" s="221"/>
      <c r="E57" s="219"/>
      <c r="F57" s="220"/>
      <c r="G57" s="221"/>
      <c r="H57" s="219"/>
      <c r="I57" s="220"/>
      <c r="J57" s="221"/>
      <c r="K57" s="219"/>
      <c r="L57" s="220"/>
      <c r="M57" s="221"/>
      <c r="N57" s="219"/>
      <c r="O57" s="220"/>
      <c r="P57" s="221"/>
      <c r="Q57" s="219"/>
      <c r="R57" s="220"/>
      <c r="S57" s="221"/>
      <c r="T57" s="297"/>
      <c r="U57" s="298"/>
      <c r="V57" s="299"/>
      <c r="W57" s="219"/>
      <c r="X57" s="220"/>
      <c r="Y57" s="221"/>
    </row>
    <row r="58" spans="1:25" x14ac:dyDescent="0.3">
      <c r="A58" s="379"/>
      <c r="B58" s="222"/>
      <c r="C58" s="223"/>
      <c r="D58" s="224"/>
      <c r="E58" s="222"/>
      <c r="F58" s="223"/>
      <c r="G58" s="224"/>
      <c r="H58" s="222"/>
      <c r="I58" s="223"/>
      <c r="J58" s="224"/>
      <c r="K58" s="222"/>
      <c r="L58" s="223"/>
      <c r="M58" s="224"/>
      <c r="N58" s="222"/>
      <c r="O58" s="223"/>
      <c r="P58" s="224"/>
      <c r="Q58" s="222"/>
      <c r="R58" s="223"/>
      <c r="S58" s="224"/>
      <c r="T58" s="300"/>
      <c r="U58" s="301"/>
      <c r="V58" s="302"/>
      <c r="W58" s="222"/>
      <c r="X58" s="223"/>
      <c r="Y58" s="224"/>
    </row>
    <row r="59" spans="1:25" x14ac:dyDescent="0.3">
      <c r="A59" s="379"/>
      <c r="B59" s="222"/>
      <c r="C59" s="223"/>
      <c r="D59" s="224"/>
      <c r="E59" s="222"/>
      <c r="F59" s="223"/>
      <c r="G59" s="224"/>
      <c r="H59" s="222"/>
      <c r="I59" s="223"/>
      <c r="J59" s="224"/>
      <c r="K59" s="222"/>
      <c r="L59" s="223"/>
      <c r="M59" s="224"/>
      <c r="N59" s="222"/>
      <c r="O59" s="223"/>
      <c r="P59" s="224"/>
      <c r="Q59" s="222"/>
      <c r="R59" s="223"/>
      <c r="S59" s="224"/>
      <c r="T59" s="300"/>
      <c r="U59" s="301"/>
      <c r="V59" s="302"/>
      <c r="W59" s="222"/>
      <c r="X59" s="223"/>
      <c r="Y59" s="224"/>
    </row>
    <row r="60" spans="1:25" ht="18" thickBot="1" x14ac:dyDescent="0.35">
      <c r="A60" s="380"/>
      <c r="B60" s="225"/>
      <c r="C60" s="226"/>
      <c r="D60" s="227"/>
      <c r="E60" s="225"/>
      <c r="F60" s="226"/>
      <c r="G60" s="227"/>
      <c r="H60" s="225"/>
      <c r="I60" s="226"/>
      <c r="J60" s="227"/>
      <c r="K60" s="225"/>
      <c r="L60" s="226"/>
      <c r="M60" s="227"/>
      <c r="N60" s="225"/>
      <c r="O60" s="226"/>
      <c r="P60" s="227"/>
      <c r="Q60" s="225"/>
      <c r="R60" s="226"/>
      <c r="S60" s="227"/>
      <c r="T60" s="326"/>
      <c r="U60" s="327"/>
      <c r="V60" s="328"/>
      <c r="W60" s="225"/>
      <c r="X60" s="226"/>
      <c r="Y60" s="227"/>
    </row>
  </sheetData>
  <sheetProtection algorithmName="SHA-512" hashValue="wsCFMWWYyPdqj0sWnEbwBoecZ28e6Cz4t/dsOzSEjBgH1LEjGKsXwee4C6S60lkroPCT2t4msnavnbfMA2I1LQ==" saltValue="tIT7KzhE1uHdD+hcGoquvw==" spinCount="100000" sheet="1" objects="1" scenarios="1"/>
  <mergeCells count="145">
    <mergeCell ref="A57:A60"/>
    <mergeCell ref="B57:D60"/>
    <mergeCell ref="E57:G60"/>
    <mergeCell ref="H57:J60"/>
    <mergeCell ref="K57:M60"/>
    <mergeCell ref="W47:Y50"/>
    <mergeCell ref="A47:A50"/>
    <mergeCell ref="B37:D40"/>
    <mergeCell ref="E37:G40"/>
    <mergeCell ref="H37:J40"/>
    <mergeCell ref="K37:M40"/>
    <mergeCell ref="N37:P40"/>
    <mergeCell ref="Q37:S40"/>
    <mergeCell ref="T37:V40"/>
    <mergeCell ref="W37:Y40"/>
    <mergeCell ref="A37:A40"/>
    <mergeCell ref="A52:A55"/>
    <mergeCell ref="A42:A45"/>
    <mergeCell ref="N47:P50"/>
    <mergeCell ref="Q47:S50"/>
    <mergeCell ref="T47:V50"/>
    <mergeCell ref="W32:Y35"/>
    <mergeCell ref="B35:D35"/>
    <mergeCell ref="E35:G35"/>
    <mergeCell ref="H35:J35"/>
    <mergeCell ref="N32:P34"/>
    <mergeCell ref="N35:P35"/>
    <mergeCell ref="Q32:S34"/>
    <mergeCell ref="Q35:S35"/>
    <mergeCell ref="N57:P60"/>
    <mergeCell ref="Q57:S60"/>
    <mergeCell ref="W57:Y60"/>
    <mergeCell ref="T57:V59"/>
    <mergeCell ref="T60:V60"/>
    <mergeCell ref="B42:D45"/>
    <mergeCell ref="E42:G45"/>
    <mergeCell ref="H42:J45"/>
    <mergeCell ref="K42:M45"/>
    <mergeCell ref="N42:P45"/>
    <mergeCell ref="Q42:S45"/>
    <mergeCell ref="T42:V45"/>
    <mergeCell ref="B47:D50"/>
    <mergeCell ref="E47:G50"/>
    <mergeCell ref="H47:J50"/>
    <mergeCell ref="K47:M50"/>
    <mergeCell ref="E8:G8"/>
    <mergeCell ref="E10:G13"/>
    <mergeCell ref="K7:M7"/>
    <mergeCell ref="N7:P7"/>
    <mergeCell ref="Q7:S7"/>
    <mergeCell ref="T7:V7"/>
    <mergeCell ref="W7:Y7"/>
    <mergeCell ref="H8:J8"/>
    <mergeCell ref="N8:P8"/>
    <mergeCell ref="Q8:S8"/>
    <mergeCell ref="T8:V8"/>
    <mergeCell ref="W8:Y8"/>
    <mergeCell ref="K21:M21"/>
    <mergeCell ref="N18:P20"/>
    <mergeCell ref="N21:P21"/>
    <mergeCell ref="Q18:S20"/>
    <mergeCell ref="Q21:S21"/>
    <mergeCell ref="T18:V20"/>
    <mergeCell ref="T21:V21"/>
    <mergeCell ref="H30:J30"/>
    <mergeCell ref="A32:A35"/>
    <mergeCell ref="B32:D34"/>
    <mergeCell ref="E32:G34"/>
    <mergeCell ref="H32:J34"/>
    <mergeCell ref="A27:A30"/>
    <mergeCell ref="K27:M30"/>
    <mergeCell ref="K32:M35"/>
    <mergeCell ref="T32:V35"/>
    <mergeCell ref="T17:V17"/>
    <mergeCell ref="E14:G17"/>
    <mergeCell ref="E18:G21"/>
    <mergeCell ref="E22:G25"/>
    <mergeCell ref="B14:D17"/>
    <mergeCell ref="B18:D21"/>
    <mergeCell ref="B22:D25"/>
    <mergeCell ref="Q17:S17"/>
    <mergeCell ref="T14:V16"/>
    <mergeCell ref="N22:P24"/>
    <mergeCell ref="N25:P25"/>
    <mergeCell ref="K22:M24"/>
    <mergeCell ref="N14:P16"/>
    <mergeCell ref="N17:P17"/>
    <mergeCell ref="H22:J24"/>
    <mergeCell ref="H17:J17"/>
    <mergeCell ref="K17:M17"/>
    <mergeCell ref="H25:J25"/>
    <mergeCell ref="H18:J21"/>
    <mergeCell ref="K25:M25"/>
    <mergeCell ref="T25:V25"/>
    <mergeCell ref="Q22:S24"/>
    <mergeCell ref="Q25:S25"/>
    <mergeCell ref="K18:M20"/>
    <mergeCell ref="A10:A11"/>
    <mergeCell ref="A14:A15"/>
    <mergeCell ref="A6:Y6"/>
    <mergeCell ref="N10:P12"/>
    <mergeCell ref="N13:P13"/>
    <mergeCell ref="Q10:S12"/>
    <mergeCell ref="Q13:S13"/>
    <mergeCell ref="T10:V12"/>
    <mergeCell ref="H10:J13"/>
    <mergeCell ref="T13:V13"/>
    <mergeCell ref="W10:Y12"/>
    <mergeCell ref="W13:Y13"/>
    <mergeCell ref="K10:M13"/>
    <mergeCell ref="Q14:S16"/>
    <mergeCell ref="W14:Y16"/>
    <mergeCell ref="K8:M8"/>
    <mergeCell ref="H7:J7"/>
    <mergeCell ref="H14:J16"/>
    <mergeCell ref="K14:M16"/>
    <mergeCell ref="B7:D7"/>
    <mergeCell ref="B9:Y9"/>
    <mergeCell ref="B8:D8"/>
    <mergeCell ref="B10:D13"/>
    <mergeCell ref="E7:G7"/>
    <mergeCell ref="O3:P3"/>
    <mergeCell ref="B52:D55"/>
    <mergeCell ref="E52:G55"/>
    <mergeCell ref="H52:J55"/>
    <mergeCell ref="K52:M55"/>
    <mergeCell ref="N52:P55"/>
    <mergeCell ref="Q52:S55"/>
    <mergeCell ref="T52:V55"/>
    <mergeCell ref="W52:Y55"/>
    <mergeCell ref="W42:Y45"/>
    <mergeCell ref="W17:Y17"/>
    <mergeCell ref="N27:P30"/>
    <mergeCell ref="Q27:S30"/>
    <mergeCell ref="T27:V30"/>
    <mergeCell ref="W27:Y30"/>
    <mergeCell ref="B27:D29"/>
    <mergeCell ref="B30:D30"/>
    <mergeCell ref="E27:G29"/>
    <mergeCell ref="E30:G30"/>
    <mergeCell ref="H27:J29"/>
    <mergeCell ref="W22:Y25"/>
    <mergeCell ref="W18:Y20"/>
    <mergeCell ref="W21:Y21"/>
    <mergeCell ref="T22:V24"/>
  </mergeCells>
  <conditionalFormatting sqref="T8:V8">
    <cfRule type="cellIs" dxfId="834" priority="12" operator="between">
      <formula>1</formula>
      <formula>8</formula>
    </cfRule>
  </conditionalFormatting>
  <conditionalFormatting sqref="Q8:S8">
    <cfRule type="cellIs" dxfId="833" priority="10" operator="between">
      <formula>1</formula>
      <formula>8</formula>
    </cfRule>
  </conditionalFormatting>
  <conditionalFormatting sqref="N8:P8">
    <cfRule type="cellIs" dxfId="832" priority="9" operator="between">
      <formula>1</formula>
      <formula>8</formula>
    </cfRule>
  </conditionalFormatting>
  <conditionalFormatting sqref="K8:M8">
    <cfRule type="cellIs" dxfId="831" priority="8" operator="between">
      <formula>1</formula>
      <formula>8</formula>
    </cfRule>
  </conditionalFormatting>
  <conditionalFormatting sqref="H8:J8">
    <cfRule type="cellIs" dxfId="830" priority="4" operator="between">
      <formula>1</formula>
      <formula>8</formula>
    </cfRule>
  </conditionalFormatting>
  <conditionalFormatting sqref="E8:G8">
    <cfRule type="cellIs" dxfId="829" priority="3" operator="between">
      <formula>1</formula>
      <formula>8</formula>
    </cfRule>
  </conditionalFormatting>
  <conditionalFormatting sqref="B8:D8">
    <cfRule type="cellIs" dxfId="828" priority="2" operator="between">
      <formula>1</formula>
      <formula>8</formula>
    </cfRule>
  </conditionalFormatting>
  <conditionalFormatting sqref="W8:Y8">
    <cfRule type="cellIs" dxfId="827" priority="1" operator="between">
      <formula>1</formula>
      <formula>8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3.8867187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2" t="s">
        <v>60</v>
      </c>
      <c r="B3" s="420">
        <v>0.8</v>
      </c>
      <c r="C3" s="420"/>
      <c r="D3" s="421"/>
      <c r="E3" s="11" t="s">
        <v>136</v>
      </c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184.75208614068026</v>
      </c>
      <c r="C6" s="17">
        <f>(((SQRT(C5)*$B$3)/SQRT(3))*$C$15)/$A6</f>
        <v>320</v>
      </c>
      <c r="D6" s="17">
        <f>(((SQRT(D5)*$B$3)/SQRT(3))*$C$15)/$A6</f>
        <v>452.54833995939043</v>
      </c>
      <c r="F6" s="106" t="str">
        <f>Abdrift!B2</f>
        <v>TeeJet</v>
      </c>
      <c r="G6" s="106" t="str">
        <f>Abdrift!C2</f>
        <v>AI/AIC 110 05</v>
      </c>
      <c r="H6" s="132">
        <f>Abdrift!H2</f>
        <v>2</v>
      </c>
      <c r="I6" s="42" t="str">
        <f>IF(H6="","","bis")</f>
        <v>bis</v>
      </c>
      <c r="J6" s="19">
        <f>Abdrift!I2</f>
        <v>5</v>
      </c>
      <c r="K6" s="20">
        <f>(((SQRT($H6)*$B$3)/SQRT(3))*60000)/($B$12*$B$15)</f>
        <v>7.8383671769061722</v>
      </c>
      <c r="L6" s="42" t="str">
        <f>IF(K6="","","bis")</f>
        <v>bis</v>
      </c>
      <c r="M6" s="18">
        <f>(((SQRT($J6)*$B$3)/SQRT(3))*60000)/($B$12*$B$15)</f>
        <v>12.393546707863736</v>
      </c>
      <c r="N6" s="19">
        <f>Abdrift!J2</f>
        <v>2</v>
      </c>
      <c r="O6" s="42" t="str">
        <f>IF(N6="","","bis")</f>
        <v>bis</v>
      </c>
      <c r="P6" s="18">
        <f>Abdrift!K2</f>
        <v>3</v>
      </c>
      <c r="Q6" s="20">
        <f>(((SQRT($N6)*$B$3)/SQRT(3))*60000)/($B$12*$B$15)</f>
        <v>7.8383671769061722</v>
      </c>
      <c r="R6" s="42" t="str">
        <f>IF(Q6="","","bis")</f>
        <v>bis</v>
      </c>
      <c r="S6" s="18">
        <f>(((SQRT($P6)*$B$3)/SQRT(3))*60000)/($B$12*$B$15)</f>
        <v>9.6</v>
      </c>
      <c r="T6" s="20">
        <f>Abdrift!L2</f>
        <v>2</v>
      </c>
      <c r="U6" s="42" t="str">
        <f>IF(T6="","","bis")</f>
        <v>bis</v>
      </c>
      <c r="V6" s="19">
        <f>Abdrift!M2</f>
        <v>2.5</v>
      </c>
      <c r="W6" s="20">
        <f>(((SQRT($T6)*$B$3)/SQRT(3))*60000)/($B$12*$B$15)</f>
        <v>7.8383671769061722</v>
      </c>
      <c r="X6" s="42" t="str">
        <f>IF(W6="","","bis")</f>
        <v>bis</v>
      </c>
      <c r="Y6" s="19">
        <f>(((SQRT($V6)*$B$3)/SQRT(3))*60000)/($B$12*$B$15)</f>
        <v>8.7635609200826607</v>
      </c>
      <c r="Z6" s="133">
        <f>Abdrift!F2</f>
        <v>2</v>
      </c>
      <c r="AA6" s="42" t="str">
        <f>IF(Z6="","","bis")</f>
        <v>bis</v>
      </c>
      <c r="AB6" s="134">
        <f>Abdrift!G2</f>
        <v>8</v>
      </c>
    </row>
    <row r="7" spans="1:28" ht="18" thickBot="1" x14ac:dyDescent="0.35">
      <c r="A7" s="21">
        <v>7</v>
      </c>
      <c r="B7" s="17">
        <f>(((SQRT(B5)*$B$3)/SQRT(3))*$C$15)/$A7</f>
        <v>158.35893097772595</v>
      </c>
      <c r="C7" s="17">
        <f>(((SQRT(C5)*$B$3)/SQRT(3))*$C$15)/$A7</f>
        <v>274.28571428571428</v>
      </c>
      <c r="D7" s="17">
        <f>(((SQRT(D5)*$B$3)/SQRT(3))*$C$15)/$A7</f>
        <v>387.89857710804893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138.5640646055102</v>
      </c>
      <c r="C8" s="17">
        <f>(((SQRT(C5)*$B$3)/SQRT(3))*1200)/$A8</f>
        <v>120</v>
      </c>
      <c r="D8" s="17">
        <f>(((SQRT(D5)*$B$3)/SQRT(3))*1200)/$A8</f>
        <v>169.70562748477141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123.16805742712017</v>
      </c>
      <c r="C9" s="17">
        <f>(((SQRT(C5)*$B$3)/SQRT(3))*$C$15)/$A9</f>
        <v>213.33333333333334</v>
      </c>
      <c r="D9" s="17">
        <f>(((SQRT(D5)*$B$3)/SQRT(3))*$C$15)/$A9</f>
        <v>301.69889330626029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110.85125168440815</v>
      </c>
      <c r="C10" s="27">
        <f>(((SQRT(C5)*$B$3)/SQRT(3))*$C$15)/$A10</f>
        <v>192</v>
      </c>
      <c r="D10" s="27">
        <f>(((SQRT(D5)*$B$3)/SQRT(3))*$C$15)/$A10</f>
        <v>271.52900397563428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</row>
    <row r="13" spans="1:28" ht="18" thickBot="1" x14ac:dyDescent="0.35">
      <c r="A13" s="23" t="s">
        <v>57</v>
      </c>
      <c r="B13" s="25">
        <f>POWER(((SQRT(3)*$C$13)/$B$3),2)</f>
        <v>1.1718749999999998</v>
      </c>
      <c r="C13" s="26">
        <f>(B12*B14*B15)/60000</f>
        <v>0.5</v>
      </c>
    </row>
    <row r="14" spans="1:28" ht="18" thickBot="1" x14ac:dyDescent="0.35">
      <c r="A14" s="23" t="s">
        <v>58</v>
      </c>
      <c r="B14" s="9">
        <v>6</v>
      </c>
    </row>
    <row r="15" spans="1:28" ht="18" thickBot="1" x14ac:dyDescent="0.35">
      <c r="A15" s="23" t="s">
        <v>61</v>
      </c>
      <c r="B15" s="29">
        <v>25</v>
      </c>
      <c r="C15" s="26">
        <f>(60000/B15)</f>
        <v>2400</v>
      </c>
    </row>
  </sheetData>
  <sheetProtection algorithmName="SHA-512" hashValue="PSnzmmKECjcsGCy7GPYXDKpwXx7goCqnRmriCAp6k9+uKpwiuDLmO4wTMmgOGBIct45Qrtd3euxJIIDTwOO1zg==" saltValue="bXhEmnpbkdfgD9o22uOAEw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6">
    <cfRule type="cellIs" dxfId="711" priority="15" operator="greaterThan">
      <formula>$B$12</formula>
    </cfRule>
  </conditionalFormatting>
  <conditionalFormatting sqref="C6">
    <cfRule type="cellIs" dxfId="710" priority="14" operator="greaterThan">
      <formula>$B$12</formula>
    </cfRule>
  </conditionalFormatting>
  <conditionalFormatting sqref="D6">
    <cfRule type="cellIs" dxfId="709" priority="13" operator="greaterThan">
      <formula>$B$12</formula>
    </cfRule>
  </conditionalFormatting>
  <conditionalFormatting sqref="B7">
    <cfRule type="cellIs" dxfId="708" priority="12" operator="greaterThan">
      <formula>$B$12</formula>
    </cfRule>
  </conditionalFormatting>
  <conditionalFormatting sqref="C7">
    <cfRule type="cellIs" dxfId="707" priority="11" operator="greaterThan">
      <formula>$B$12</formula>
    </cfRule>
  </conditionalFormatting>
  <conditionalFormatting sqref="D7">
    <cfRule type="cellIs" dxfId="706" priority="10" operator="greaterThan">
      <formula>$B$12</formula>
    </cfRule>
  </conditionalFormatting>
  <conditionalFormatting sqref="B8">
    <cfRule type="cellIs" dxfId="705" priority="9" operator="greaterThan">
      <formula>$B$12</formula>
    </cfRule>
  </conditionalFormatting>
  <conditionalFormatting sqref="B9">
    <cfRule type="cellIs" dxfId="704" priority="8" operator="greaterThan">
      <formula>$B$12</formula>
    </cfRule>
  </conditionalFormatting>
  <conditionalFormatting sqref="B10">
    <cfRule type="cellIs" dxfId="703" priority="7" operator="greaterThan">
      <formula>$B$12</formula>
    </cfRule>
  </conditionalFormatting>
  <conditionalFormatting sqref="C8">
    <cfRule type="cellIs" dxfId="702" priority="6" operator="greaterThan">
      <formula>$B$12</formula>
    </cfRule>
  </conditionalFormatting>
  <conditionalFormatting sqref="D8">
    <cfRule type="cellIs" dxfId="701" priority="5" operator="greaterThan">
      <formula>$B$12</formula>
    </cfRule>
  </conditionalFormatting>
  <conditionalFormatting sqref="C9">
    <cfRule type="cellIs" dxfId="700" priority="4" operator="greaterThan">
      <formula>$B$12</formula>
    </cfRule>
  </conditionalFormatting>
  <conditionalFormatting sqref="D9">
    <cfRule type="cellIs" dxfId="699" priority="3" operator="greaterThan">
      <formula>$B$12</formula>
    </cfRule>
  </conditionalFormatting>
  <conditionalFormatting sqref="C10">
    <cfRule type="cellIs" dxfId="698" priority="2" operator="greaterThan">
      <formula>$B$12</formula>
    </cfRule>
  </conditionalFormatting>
  <conditionalFormatting sqref="D10">
    <cfRule type="cellIs" dxfId="697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5.8867187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2" t="s">
        <v>60</v>
      </c>
      <c r="B3" s="420">
        <v>0.8</v>
      </c>
      <c r="C3" s="420"/>
      <c r="D3" s="421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92.376043070340131</v>
      </c>
      <c r="C6" s="17">
        <f>(((SQRT(C5)*$B$3)/SQRT(3))*$C$15)/$A6</f>
        <v>160</v>
      </c>
      <c r="D6" s="17">
        <f>(((SQRT(D5)*$B$3)/SQRT(3))*$C$15)/$A6</f>
        <v>226.27416997969522</v>
      </c>
      <c r="F6" s="106" t="str">
        <f>_1911b</f>
        <v>Lechler</v>
      </c>
      <c r="G6" s="106" t="str">
        <f>_1911c</f>
        <v>IDKT 120 02</v>
      </c>
      <c r="H6" s="132">
        <f>_1911h</f>
        <v>1.5</v>
      </c>
      <c r="I6" s="42" t="str">
        <f>IF(H6="","","bis")</f>
        <v>bis</v>
      </c>
      <c r="J6" s="19">
        <f>_1911i</f>
        <v>5</v>
      </c>
      <c r="K6" s="20">
        <f>(((SQRT($H6)*$B$3)/SQRT(3))*60000)/($B$12*$B$15)</f>
        <v>4.5254833995939041</v>
      </c>
      <c r="L6" s="42" t="str">
        <f>IF(K6="","","bis")</f>
        <v>bis</v>
      </c>
      <c r="M6" s="18">
        <f>(((SQRT($J6)*$B$3)/SQRT(3))*60000)/($B$12*$B$15)</f>
        <v>8.2623644719091569</v>
      </c>
      <c r="N6" s="19">
        <f>_1911j</f>
        <v>1.5</v>
      </c>
      <c r="O6" s="42" t="str">
        <f>IF(N6="","","bis")</f>
        <v>bis</v>
      </c>
      <c r="P6" s="18">
        <f>_1911k</f>
        <v>3</v>
      </c>
      <c r="Q6" s="20">
        <f>(((SQRT($N6)*$B$3)/SQRT(3))*60000)/($B$12*$B$15)</f>
        <v>4.5254833995939041</v>
      </c>
      <c r="R6" s="42" t="str">
        <f>IF(Q6="","","bis")</f>
        <v>bis</v>
      </c>
      <c r="S6" s="18">
        <f>(((SQRT($P6)*$B$3)/SQRT(3))*60000)/($B$12*$B$15)</f>
        <v>6.4</v>
      </c>
      <c r="T6" s="20">
        <f>_1911l</f>
        <v>1.5</v>
      </c>
      <c r="U6" s="42" t="str">
        <f>IF(T6="","","bis")</f>
        <v>bis</v>
      </c>
      <c r="V6" s="19">
        <f>_1911m</f>
        <v>1.5</v>
      </c>
      <c r="W6" s="20">
        <f>(((SQRT($T6)*$B$3)/SQRT(3))*60000)/($B$12*$B$15)</f>
        <v>4.5254833995939041</v>
      </c>
      <c r="X6" s="42" t="str">
        <f>IF(W6="","","bis")</f>
        <v>bis</v>
      </c>
      <c r="Y6" s="19">
        <f>(((SQRT($V6)*$B$3)/SQRT(3))*60000)/($B$12*$B$15)</f>
        <v>4.5254833995939041</v>
      </c>
      <c r="Z6" s="133">
        <f>_1911f</f>
        <v>1.5</v>
      </c>
      <c r="AA6" s="42" t="str">
        <f>IF(Z6="","","bis")</f>
        <v>bis</v>
      </c>
      <c r="AB6" s="134">
        <f>_1911g</f>
        <v>6</v>
      </c>
    </row>
    <row r="7" spans="1:28" ht="18" thickBot="1" x14ac:dyDescent="0.35">
      <c r="A7" s="21">
        <v>7</v>
      </c>
      <c r="B7" s="17">
        <f>(((SQRT(B5)*$B$3)/SQRT(3))*$C$15)/$A7</f>
        <v>79.179465488862974</v>
      </c>
      <c r="C7" s="17">
        <f>(((SQRT(C5)*$B$3)/SQRT(3))*$C$15)/$A7</f>
        <v>137.14285714285714</v>
      </c>
      <c r="D7" s="17">
        <f>(((SQRT(D5)*$B$3)/SQRT(3))*$C$15)/$A7</f>
        <v>193.94928855402446</v>
      </c>
      <c r="F7" s="106" t="str">
        <f>_2128b</f>
        <v>Hardi</v>
      </c>
      <c r="G7" s="106" t="str">
        <f>_2128c</f>
        <v>Minidrift Duo 110 02</v>
      </c>
      <c r="H7" s="132">
        <f>_2128h</f>
        <v>1.5</v>
      </c>
      <c r="I7" s="42" t="str">
        <f>IF(H7="","","bis")</f>
        <v>bis</v>
      </c>
      <c r="J7" s="18">
        <f>_2128i</f>
        <v>5</v>
      </c>
      <c r="K7" s="20">
        <f>(((SQRT($H7)*$B$3)/SQRT(3))*60000)/($B$12*$B$15)</f>
        <v>4.5254833995939041</v>
      </c>
      <c r="L7" s="42" t="str">
        <f>IF(K7="","","bis")</f>
        <v>bis</v>
      </c>
      <c r="M7" s="18">
        <f>(((SQRT($J7)*$B$3)/SQRT(3))*60000)/($B$12*$B$15)</f>
        <v>8.2623644719091569</v>
      </c>
      <c r="N7" s="20">
        <f>_2128j</f>
        <v>1.5</v>
      </c>
      <c r="O7" s="42" t="str">
        <f>IF(N7="","","bis")</f>
        <v>bis</v>
      </c>
      <c r="P7" s="18">
        <f>_2128k</f>
        <v>3</v>
      </c>
      <c r="Q7" s="20">
        <f>(((SQRT($N7)*$B$3)/SQRT(3))*60000)/($B$12*$B$15)</f>
        <v>4.5254833995939041</v>
      </c>
      <c r="R7" s="42" t="str">
        <f>IF(Q7="","","bis")</f>
        <v>bis</v>
      </c>
      <c r="S7" s="18">
        <f>(((SQRT($P7)*$B$3)/SQRT(3))*60000)/($B$12*$B$15)</f>
        <v>6.4</v>
      </c>
      <c r="T7" s="20">
        <f>_2128l</f>
        <v>1.5</v>
      </c>
      <c r="U7" s="42" t="str">
        <f>IF(T7="","","bis")</f>
        <v>bis</v>
      </c>
      <c r="V7" s="18">
        <f>_2128m</f>
        <v>1.5</v>
      </c>
      <c r="W7" s="20">
        <f>(((SQRT($T7)*$B$3)/SQRT(3))*60000)/($B$12*$B$15)</f>
        <v>4.5254833995939041</v>
      </c>
      <c r="X7" s="42" t="str">
        <f>IF(W7="","","bis")</f>
        <v>bis</v>
      </c>
      <c r="Y7" s="18">
        <f>(((SQRT($V7)*$B$3)/SQRT(3))*60000)/($B$12*$B$15)</f>
        <v>4.5254833995939041</v>
      </c>
      <c r="Z7" s="133">
        <f>_2128f</f>
        <v>1.5</v>
      </c>
      <c r="AA7" s="42" t="str">
        <f>IF(Z7="","","bis")</f>
        <v>bis</v>
      </c>
      <c r="AB7" s="134">
        <f>_2128g</f>
        <v>6</v>
      </c>
    </row>
    <row r="8" spans="1:28" ht="18" thickBot="1" x14ac:dyDescent="0.35">
      <c r="A8" s="21">
        <v>8</v>
      </c>
      <c r="B8" s="17">
        <f>(((SQRT(B5)*$B$3)/SQRT(3))*$C$15)/$A8</f>
        <v>69.282032302755098</v>
      </c>
      <c r="C8" s="17">
        <f>(((SQRT(C5)*$B$3)/SQRT(3))*1200)/$A8</f>
        <v>120</v>
      </c>
      <c r="D8" s="17">
        <f>(((SQRT(D5)*$B$3)/SQRT(3))*1200)/$A8</f>
        <v>169.70562748477141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61.584028713560087</v>
      </c>
      <c r="C9" s="17">
        <f>(((SQRT(C5)*$B$3)/SQRT(3))*$C$15)/$A9</f>
        <v>106.66666666666667</v>
      </c>
      <c r="D9" s="17">
        <f>(((SQRT(D5)*$B$3)/SQRT(3))*$C$15)/$A9</f>
        <v>150.84944665313014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55.425625842204077</v>
      </c>
      <c r="C10" s="27">
        <f>(((SQRT(C5)*$B$3)/SQRT(3))*$C$15)/$A10</f>
        <v>96</v>
      </c>
      <c r="D10" s="27">
        <f>(((SQRT(D5)*$B$3)/SQRT(3))*$C$15)/$A10</f>
        <v>135.76450198781714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150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7.3242187499999973</v>
      </c>
      <c r="C13" s="26">
        <f>(B12*B14*B15)/60000</f>
        <v>1.25</v>
      </c>
      <c r="D13" s="25">
        <f>POWER(((SQRT(3)*$E$13)/$B$3),2)</f>
        <v>37.630208333333329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10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f>Tabelle1!A5</f>
        <v>50</v>
      </c>
    </row>
  </sheetData>
  <sheetProtection algorithmName="SHA-512" hashValue="6Hj6DLT+FxKNOh/9In5+8GYpeZuKkh4J4wz9SVlhCJCrztuKDV6cCNxh7CYBoG575xFOe1EkMuQ0hiyAQNuw7g==" saltValue="wM0jjf9dOAB8ZQh7+6T7Gw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6">
    <cfRule type="cellIs" dxfId="696" priority="15" operator="greaterThan">
      <formula>$B$12</formula>
    </cfRule>
  </conditionalFormatting>
  <conditionalFormatting sqref="C6">
    <cfRule type="cellIs" dxfId="695" priority="14" operator="greaterThan">
      <formula>$B$12</formula>
    </cfRule>
  </conditionalFormatting>
  <conditionalFormatting sqref="D6">
    <cfRule type="cellIs" dxfId="694" priority="13" operator="greaterThan">
      <formula>$B$12</formula>
    </cfRule>
  </conditionalFormatting>
  <conditionalFormatting sqref="B7">
    <cfRule type="cellIs" dxfId="693" priority="12" operator="greaterThan">
      <formula>$B$12</formula>
    </cfRule>
  </conditionalFormatting>
  <conditionalFormatting sqref="C7">
    <cfRule type="cellIs" dxfId="692" priority="11" operator="greaterThan">
      <formula>$B$12</formula>
    </cfRule>
  </conditionalFormatting>
  <conditionalFormatting sqref="D7">
    <cfRule type="cellIs" dxfId="691" priority="10" operator="greaterThan">
      <formula>$B$12</formula>
    </cfRule>
  </conditionalFormatting>
  <conditionalFormatting sqref="B8">
    <cfRule type="cellIs" dxfId="690" priority="9" operator="greaterThan">
      <formula>$B$12</formula>
    </cfRule>
  </conditionalFormatting>
  <conditionalFormatting sqref="B9">
    <cfRule type="cellIs" dxfId="689" priority="8" operator="greaterThan">
      <formula>$B$12</formula>
    </cfRule>
  </conditionalFormatting>
  <conditionalFormatting sqref="B10">
    <cfRule type="cellIs" dxfId="688" priority="7" operator="greaterThan">
      <formula>$B$12</formula>
    </cfRule>
  </conditionalFormatting>
  <conditionalFormatting sqref="C8">
    <cfRule type="cellIs" dxfId="687" priority="6" operator="greaterThan">
      <formula>$B$12</formula>
    </cfRule>
  </conditionalFormatting>
  <conditionalFormatting sqref="D8">
    <cfRule type="cellIs" dxfId="686" priority="5" operator="greaterThan">
      <formula>$B$12</formula>
    </cfRule>
  </conditionalFormatting>
  <conditionalFormatting sqref="C9">
    <cfRule type="cellIs" dxfId="685" priority="4" operator="greaterThan">
      <formula>$B$12</formula>
    </cfRule>
  </conditionalFormatting>
  <conditionalFormatting sqref="D9">
    <cfRule type="cellIs" dxfId="684" priority="3" operator="greaterThan">
      <formula>$B$12</formula>
    </cfRule>
  </conditionalFormatting>
  <conditionalFormatting sqref="C10">
    <cfRule type="cellIs" dxfId="683" priority="2" operator="greaterThan">
      <formula>$B$12</formula>
    </cfRule>
  </conditionalFormatting>
  <conditionalFormatting sqref="D10">
    <cfRule type="cellIs" dxfId="682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8.8867187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2" t="s">
        <v>60</v>
      </c>
      <c r="B3" s="420">
        <v>0.8</v>
      </c>
      <c r="C3" s="420"/>
      <c r="D3" s="421"/>
      <c r="E3" s="11" t="s">
        <v>137</v>
      </c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130.6394529484362</v>
      </c>
      <c r="C6" s="17">
        <f>(((SQRT(C5)*$B$3)/SQRT(3))*$C$15)/$A6</f>
        <v>206.55911179772895</v>
      </c>
      <c r="D6" s="17">
        <f>(((SQRT(D5)*$B$3)/SQRT(3))*$C$15)/$A6</f>
        <v>261.2789058968724</v>
      </c>
      <c r="F6" s="106" t="str">
        <f>Abdrift!B2</f>
        <v>TeeJet</v>
      </c>
      <c r="G6" s="106" t="str">
        <f>Abdrift!C2</f>
        <v>AI/AIC 110 05</v>
      </c>
      <c r="H6" s="132">
        <f>Abdrift!H2</f>
        <v>2</v>
      </c>
      <c r="I6" s="42" t="str">
        <f>IF(H6="","","bis")</f>
        <v>bis</v>
      </c>
      <c r="J6" s="19">
        <f>Abdrift!I2</f>
        <v>5</v>
      </c>
      <c r="K6" s="20">
        <f>(((SQRT($H6)*$B$3)/SQRT(3))*60000)/($B$12*$B$15)</f>
        <v>3.9191835884530861</v>
      </c>
      <c r="L6" s="42" t="str">
        <f>IF(K6="","","bis")</f>
        <v>bis</v>
      </c>
      <c r="M6" s="18">
        <f>(((SQRT($J6)*$B$3)/SQRT(3))*60000)/($B$12*$B$15)</f>
        <v>6.1967733539318681</v>
      </c>
      <c r="N6" s="19">
        <f>Abdrift!J2</f>
        <v>2</v>
      </c>
      <c r="O6" s="42" t="str">
        <f>IF(N6="","","bis")</f>
        <v>bis</v>
      </c>
      <c r="P6" s="18">
        <f>Abdrift!K2</f>
        <v>3</v>
      </c>
      <c r="Q6" s="20">
        <f>(((SQRT($N6)*$B$3)/SQRT(3))*60000)/($B$12*$B$15)</f>
        <v>3.9191835884530861</v>
      </c>
      <c r="R6" s="42" t="str">
        <f>IF(Q6="","","bis")</f>
        <v>bis</v>
      </c>
      <c r="S6" s="18">
        <f>(((SQRT($P6)*$B$3)/SQRT(3))*60000)/($B$12*$B$15)</f>
        <v>4.8</v>
      </c>
      <c r="T6" s="20">
        <f>Abdrift!L2</f>
        <v>2</v>
      </c>
      <c r="U6" s="42" t="str">
        <f>IF(T6="","","bis")</f>
        <v>bis</v>
      </c>
      <c r="V6" s="19">
        <f>Abdrift!M2</f>
        <v>2.5</v>
      </c>
      <c r="W6" s="20">
        <f>(((SQRT($T6)*$B$3)/SQRT(3))*60000)/($B$12*$B$15)</f>
        <v>3.9191835884530861</v>
      </c>
      <c r="X6" s="42" t="str">
        <f>IF(W6="","","bis")</f>
        <v>bis</v>
      </c>
      <c r="Y6" s="19">
        <f>(((SQRT($V6)*$B$3)/SQRT(3))*60000)/($B$12*$B$15)</f>
        <v>4.3817804600413304</v>
      </c>
      <c r="Z6" s="133">
        <f>Abdrift!F2</f>
        <v>2</v>
      </c>
      <c r="AA6" s="42" t="str">
        <f>IF(Z6="","","bis")</f>
        <v>bis</v>
      </c>
      <c r="AB6" s="134">
        <f>Abdrift!G2</f>
        <v>8</v>
      </c>
    </row>
    <row r="7" spans="1:28" ht="18" thickBot="1" x14ac:dyDescent="0.35">
      <c r="A7" s="21">
        <v>7</v>
      </c>
      <c r="B7" s="17">
        <f>(((SQRT(B5)*$B$3)/SQRT(3))*$C$15)/$A7</f>
        <v>111.97667395580245</v>
      </c>
      <c r="C7" s="17">
        <f>(((SQRT(C5)*$B$3)/SQRT(3))*$C$15)/$A7</f>
        <v>177.05066725519623</v>
      </c>
      <c r="D7" s="17">
        <f>(((SQRT(D5)*$B$3)/SQRT(3))*$C$15)/$A7</f>
        <v>223.95334791160491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97.979589711327151</v>
      </c>
      <c r="C8" s="17">
        <f>(((SQRT(C5)*$B$3)/SQRT(3))*1200)/$A8</f>
        <v>154.9193338482967</v>
      </c>
      <c r="D8" s="17">
        <f>(((SQRT(D5)*$B$3)/SQRT(3))*1200)/$A8</f>
        <v>195.9591794226543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87.092968632290805</v>
      </c>
      <c r="C9" s="17">
        <f>(((SQRT(C5)*$B$3)/SQRT(3))*$C$15)/$A9</f>
        <v>137.7060745318193</v>
      </c>
      <c r="D9" s="17">
        <f>(((SQRT(D5)*$B$3)/SQRT(3))*$C$15)/$A9</f>
        <v>174.18593726458161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78.383671769061721</v>
      </c>
      <c r="C10" s="27">
        <f>(((SQRT(C5)*$B$3)/SQRT(3))*$C$15)/$A10</f>
        <v>123.93546707863736</v>
      </c>
      <c r="D10" s="27">
        <f>(((SQRT(D5)*$B$3)/SQRT(3))*$C$15)/$A10</f>
        <v>156.76734353812344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</row>
    <row r="13" spans="1:28" ht="18" thickBot="1" x14ac:dyDescent="0.35">
      <c r="A13" s="23" t="s">
        <v>57</v>
      </c>
      <c r="B13" s="25">
        <f>POWER(((SQRT(3)*$C$13)/$B$3),2)</f>
        <v>4.6874999999999991</v>
      </c>
      <c r="C13" s="26">
        <f>(B12*B14*B15)/60000</f>
        <v>1</v>
      </c>
    </row>
    <row r="14" spans="1:28" ht="18" thickBot="1" x14ac:dyDescent="0.35">
      <c r="A14" s="23" t="s">
        <v>58</v>
      </c>
      <c r="B14" s="9">
        <v>6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</row>
  </sheetData>
  <sheetProtection algorithmName="SHA-512" hashValue="E7Aisr9neE6nkh9k4g+wd3wz5n+ERsQ6t2Iy4sZFED7D8wIZ4Xis8q2a4bmK/7vDXNvqRIJe3jPTcx3tXU4fcQ==" saltValue="91UEaSTLMngGFSmTPpYjcw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6">
    <cfRule type="cellIs" dxfId="681" priority="15" operator="greaterThan">
      <formula>$B$12</formula>
    </cfRule>
  </conditionalFormatting>
  <conditionalFormatting sqref="C6">
    <cfRule type="cellIs" dxfId="680" priority="14" operator="greaterThan">
      <formula>$B$12</formula>
    </cfRule>
  </conditionalFormatting>
  <conditionalFormatting sqref="D6">
    <cfRule type="cellIs" dxfId="679" priority="13" operator="greaterThan">
      <formula>$B$12</formula>
    </cfRule>
  </conditionalFormatting>
  <conditionalFormatting sqref="B7">
    <cfRule type="cellIs" dxfId="678" priority="12" operator="greaterThan">
      <formula>$B$12</formula>
    </cfRule>
  </conditionalFormatting>
  <conditionalFormatting sqref="C7">
    <cfRule type="cellIs" dxfId="677" priority="11" operator="greaterThan">
      <formula>$B$12</formula>
    </cfRule>
  </conditionalFormatting>
  <conditionalFormatting sqref="D7">
    <cfRule type="cellIs" dxfId="676" priority="10" operator="greaterThan">
      <formula>$B$12</formula>
    </cfRule>
  </conditionalFormatting>
  <conditionalFormatting sqref="B8">
    <cfRule type="cellIs" dxfId="675" priority="9" operator="greaterThan">
      <formula>$B$12</formula>
    </cfRule>
  </conditionalFormatting>
  <conditionalFormatting sqref="B9">
    <cfRule type="cellIs" dxfId="674" priority="8" operator="greaterThan">
      <formula>$B$12</formula>
    </cfRule>
  </conditionalFormatting>
  <conditionalFormatting sqref="B10">
    <cfRule type="cellIs" dxfId="673" priority="7" operator="greaterThan">
      <formula>$B$12</formula>
    </cfRule>
  </conditionalFormatting>
  <conditionalFormatting sqref="C8">
    <cfRule type="cellIs" dxfId="672" priority="6" operator="greaterThan">
      <formula>$B$12</formula>
    </cfRule>
  </conditionalFormatting>
  <conditionalFormatting sqref="D8">
    <cfRule type="cellIs" dxfId="671" priority="5" operator="greaterThan">
      <formula>$B$12</formula>
    </cfRule>
  </conditionalFormatting>
  <conditionalFormatting sqref="C9">
    <cfRule type="cellIs" dxfId="670" priority="4" operator="greaterThan">
      <formula>$B$12</formula>
    </cfRule>
  </conditionalFormatting>
  <conditionalFormatting sqref="D9">
    <cfRule type="cellIs" dxfId="669" priority="3" operator="greaterThan">
      <formula>$B$12</formula>
    </cfRule>
  </conditionalFormatting>
  <conditionalFormatting sqref="C10">
    <cfRule type="cellIs" dxfId="668" priority="2" operator="greaterThan">
      <formula>$B$12</formula>
    </cfRule>
  </conditionalFormatting>
  <conditionalFormatting sqref="D10">
    <cfRule type="cellIs" dxfId="667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5.66406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2" t="s">
        <v>60</v>
      </c>
      <c r="B3" s="420">
        <v>0.8</v>
      </c>
      <c r="C3" s="420"/>
      <c r="D3" s="421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130.6394529484362</v>
      </c>
      <c r="C6" s="17">
        <f>(((SQRT(C5)*$B$3)/SQRT(3))*$C$15)/$A6</f>
        <v>206.55911179772895</v>
      </c>
      <c r="D6" s="17">
        <f>(((SQRT(D5)*$B$3)/SQRT(3))*$C$15)/$A6</f>
        <v>261.2789058968724</v>
      </c>
      <c r="F6" s="106" t="str">
        <f>_2084b</f>
        <v>TeeJet</v>
      </c>
      <c r="G6" s="106" t="str">
        <f>_2084c</f>
        <v>TTI60-110 02 VP-C</v>
      </c>
      <c r="H6" s="132">
        <f>_2084h</f>
        <v>1.5</v>
      </c>
      <c r="I6" s="42" t="str">
        <f>IF(H6="","","bis")</f>
        <v>bis</v>
      </c>
      <c r="J6" s="19">
        <f>_2084i</f>
        <v>6</v>
      </c>
      <c r="K6" s="20">
        <f>(((SQRT($H6)*$B$3)/SQRT(3))*60000)/($B$12*$B$15)</f>
        <v>4.5254833995939041</v>
      </c>
      <c r="L6" s="42" t="str">
        <f>IF(K6="","","bis")</f>
        <v>bis</v>
      </c>
      <c r="M6" s="18">
        <f>(((SQRT($J6)*$B$3)/SQRT(3))*60000)/($B$12*$B$15)</f>
        <v>9.0509667991878082</v>
      </c>
      <c r="N6" s="19">
        <f>_2084j</f>
        <v>1.5</v>
      </c>
      <c r="O6" s="42" t="str">
        <f>IF(N6="","","bis")</f>
        <v>bis</v>
      </c>
      <c r="P6" s="18">
        <f>_2084k</f>
        <v>3</v>
      </c>
      <c r="Q6" s="20">
        <f>(((SQRT($N6)*$B$3)/SQRT(3))*60000)/($B$12*$B$15)</f>
        <v>4.5254833995939041</v>
      </c>
      <c r="R6" s="42" t="str">
        <f>IF(Q6="","","bis")</f>
        <v>bis</v>
      </c>
      <c r="S6" s="18">
        <f>(((SQRT($P6)*$B$3)/SQRT(3))*60000)/($B$12*$B$15)</f>
        <v>6.4</v>
      </c>
      <c r="T6" s="20">
        <f>_2084l</f>
        <v>1.5</v>
      </c>
      <c r="U6" s="42" t="str">
        <f>IF(T6="","","bis")</f>
        <v>bis</v>
      </c>
      <c r="V6" s="19">
        <f>_2084m</f>
        <v>1.5</v>
      </c>
      <c r="W6" s="20">
        <f>(((SQRT($T6)*$B$3)/SQRT(3))*60000)/($B$12*$B$15)</f>
        <v>4.5254833995939041</v>
      </c>
      <c r="X6" s="42" t="str">
        <f>IF(W6="","","bis")</f>
        <v>bis</v>
      </c>
      <c r="Y6" s="19">
        <f>(((SQRT($V6)*$B$3)/SQRT(3))*60000)/($B$12*$B$15)</f>
        <v>4.5254833995939041</v>
      </c>
      <c r="Z6" s="133">
        <f>_2084f</f>
        <v>1.5</v>
      </c>
      <c r="AA6" s="42" t="str">
        <f>IF(Z6="","","bis")</f>
        <v>bis</v>
      </c>
      <c r="AB6" s="134">
        <f>_2084g</f>
        <v>7</v>
      </c>
    </row>
    <row r="7" spans="1:28" ht="18" thickBot="1" x14ac:dyDescent="0.35">
      <c r="A7" s="21">
        <v>7</v>
      </c>
      <c r="B7" s="17">
        <f>(((SQRT(B5)*$B$3)/SQRT(3))*$C$15)/$A7</f>
        <v>111.97667395580245</v>
      </c>
      <c r="C7" s="17">
        <f>(((SQRT(C5)*$B$3)/SQRT(3))*$C$15)/$A7</f>
        <v>177.05066725519623</v>
      </c>
      <c r="D7" s="17">
        <f>(((SQRT(D5)*$B$3)/SQRT(3))*$C$15)/$A7</f>
        <v>223.95334791160491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97.979589711327151</v>
      </c>
      <c r="C8" s="17">
        <f>(((SQRT(C5)*$B$3)/SQRT(3))*1200)/$A8</f>
        <v>154.9193338482967</v>
      </c>
      <c r="D8" s="17">
        <f>(((SQRT(D5)*$B$3)/SQRT(3))*1200)/$A8</f>
        <v>195.9591794226543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87.092968632290805</v>
      </c>
      <c r="C9" s="17">
        <f>(((SQRT(C5)*$B$3)/SQRT(3))*$C$15)/$A9</f>
        <v>137.7060745318193</v>
      </c>
      <c r="D9" s="17">
        <f>(((SQRT(D5)*$B$3)/SQRT(3))*$C$15)/$A9</f>
        <v>174.18593726458161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78.383671769061721</v>
      </c>
      <c r="C10" s="27">
        <f>(((SQRT(C5)*$B$3)/SQRT(3))*$C$15)/$A10</f>
        <v>123.93546707863736</v>
      </c>
      <c r="D10" s="27">
        <f>(((SQRT(D5)*$B$3)/SQRT(3))*$C$15)/$A10</f>
        <v>156.76734353812344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150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1.8310546874999993</v>
      </c>
      <c r="C13" s="26">
        <f>(B12*B14*B15)/60000</f>
        <v>0.625</v>
      </c>
      <c r="D13" s="25">
        <f>POWER(((SQRT(3)*$E$13)/$B$3),2)</f>
        <v>37.630208333333329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8NRtaAQVkkIhmz71/SGCe4IYGCLr4zFeNMmRvuNL8J6AqMV6c/+0BtaHGdDoilEIOLiQCa/Yyo7C3mLIJBiA1Q==" saltValue="os2gv7sqqQCp/EJ54U1Otg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6">
    <cfRule type="cellIs" dxfId="666" priority="15" operator="greaterThan">
      <formula>$B$12</formula>
    </cfRule>
  </conditionalFormatting>
  <conditionalFormatting sqref="C6">
    <cfRule type="cellIs" dxfId="665" priority="14" operator="greaterThan">
      <formula>$B$12</formula>
    </cfRule>
  </conditionalFormatting>
  <conditionalFormatting sqref="D6">
    <cfRule type="cellIs" dxfId="664" priority="13" operator="greaterThan">
      <formula>$B$12</formula>
    </cfRule>
  </conditionalFormatting>
  <conditionalFormatting sqref="B7">
    <cfRule type="cellIs" dxfId="663" priority="12" operator="greaterThan">
      <formula>$B$12</formula>
    </cfRule>
  </conditionalFormatting>
  <conditionalFormatting sqref="C7">
    <cfRule type="cellIs" dxfId="662" priority="11" operator="greaterThan">
      <formula>$B$12</formula>
    </cfRule>
  </conditionalFormatting>
  <conditionalFormatting sqref="D7">
    <cfRule type="cellIs" dxfId="661" priority="10" operator="greaterThan">
      <formula>$B$12</formula>
    </cfRule>
  </conditionalFormatting>
  <conditionalFormatting sqref="B8">
    <cfRule type="cellIs" dxfId="660" priority="9" operator="greaterThan">
      <formula>$B$12</formula>
    </cfRule>
  </conditionalFormatting>
  <conditionalFormatting sqref="B9">
    <cfRule type="cellIs" dxfId="659" priority="8" operator="greaterThan">
      <formula>$B$12</formula>
    </cfRule>
  </conditionalFormatting>
  <conditionalFormatting sqref="B10">
    <cfRule type="cellIs" dxfId="658" priority="7" operator="greaterThan">
      <formula>$B$12</formula>
    </cfRule>
  </conditionalFormatting>
  <conditionalFormatting sqref="C8">
    <cfRule type="cellIs" dxfId="657" priority="6" operator="greaterThan">
      <formula>$B$12</formula>
    </cfRule>
  </conditionalFormatting>
  <conditionalFormatting sqref="D8">
    <cfRule type="cellIs" dxfId="656" priority="5" operator="greaterThan">
      <formula>$B$12</formula>
    </cfRule>
  </conditionalFormatting>
  <conditionalFormatting sqref="C9">
    <cfRule type="cellIs" dxfId="655" priority="4" operator="greaterThan">
      <formula>$B$12</formula>
    </cfRule>
  </conditionalFormatting>
  <conditionalFormatting sqref="D9">
    <cfRule type="cellIs" dxfId="654" priority="3" operator="greaterThan">
      <formula>$B$12</formula>
    </cfRule>
  </conditionalFormatting>
  <conditionalFormatting sqref="C10">
    <cfRule type="cellIs" dxfId="653" priority="2" operator="greaterThan">
      <formula>$B$12</formula>
    </cfRule>
  </conditionalFormatting>
  <conditionalFormatting sqref="D10">
    <cfRule type="cellIs" dxfId="652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.66406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2" t="s">
        <v>60</v>
      </c>
      <c r="B3" s="420">
        <v>0.8</v>
      </c>
      <c r="C3" s="420"/>
      <c r="D3" s="421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2</v>
      </c>
      <c r="D5" s="15">
        <v>3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4</v>
      </c>
      <c r="B6" s="17">
        <f>(((SQRT($B$5)*$B$3)/SQRT(3))*60000)/($A$6*$B$16)</f>
        <v>346.41016151377551</v>
      </c>
      <c r="C6" s="17">
        <f>(((SQRT($C$5)*$B$3)/SQRT(3))*60000)/($A$6*$B$16)</f>
        <v>489.89794855663575</v>
      </c>
      <c r="D6" s="17">
        <f>(((SQRT($D$5)*$B$3)/SQRT(3))*60000)/($A$6*$B$16)</f>
        <v>600</v>
      </c>
      <c r="F6" s="106" t="str">
        <f>_1435b</f>
        <v>Lechler</v>
      </c>
      <c r="G6" s="106" t="str">
        <f>_1435c</f>
        <v>ES 80 02E MS</v>
      </c>
      <c r="H6" s="132">
        <f>_1435h</f>
        <v>1.5</v>
      </c>
      <c r="I6" s="42" t="str">
        <f>IF(H6="","","bis")</f>
        <v>bis</v>
      </c>
      <c r="J6" s="19">
        <f>_1435i</f>
        <v>3</v>
      </c>
      <c r="K6" s="20">
        <f>(((SQRT($H6)*$B$3)/SQRT(3))*60000)/($B$12*$B$16)</f>
        <v>5.6568542494923797</v>
      </c>
      <c r="L6" s="42" t="str">
        <f>IF(K6="","","bis")</f>
        <v>bis</v>
      </c>
      <c r="M6" s="18">
        <f>(((SQRT($J6)*$B$3)/SQRT(3))*60000)/($B$12*$B$16)</f>
        <v>8</v>
      </c>
      <c r="N6" s="19">
        <f>_1435j</f>
        <v>1.5</v>
      </c>
      <c r="O6" s="42" t="str">
        <f>IF(N6="","","bis")</f>
        <v>bis</v>
      </c>
      <c r="P6" s="19">
        <f>_1435k</f>
        <v>3</v>
      </c>
      <c r="Q6" s="20">
        <f>(((SQRT($N6)*$B$3)/SQRT(3))*60000)/($B$12*$B$16)</f>
        <v>5.6568542494923797</v>
      </c>
      <c r="R6" s="42" t="str">
        <f>IF(Q6="","","bis")</f>
        <v>bis</v>
      </c>
      <c r="S6" s="18">
        <f>(((SQRT($P6)*$B$3)/SQRT(3))*60000)/($B$12*$B$16)</f>
        <v>8</v>
      </c>
      <c r="T6" s="132">
        <f>_1435l</f>
        <v>1.5</v>
      </c>
      <c r="U6" s="42" t="str">
        <f>IF(T6="","","bis")</f>
        <v>bis</v>
      </c>
      <c r="V6" s="19">
        <f>_1435m</f>
        <v>3</v>
      </c>
      <c r="W6" s="20">
        <f>(((SQRT($T6)*$B$3)/SQRT(3))*60000)/($B$12*$B$16)</f>
        <v>5.6568542494923797</v>
      </c>
      <c r="X6" s="42" t="str">
        <f>IF(W6="","","bis")</f>
        <v>bis</v>
      </c>
      <c r="Y6" s="18">
        <f>(((SQRT($V6)*$B$3)/SQRT(3))*60000)/($B$12*$B$16)</f>
        <v>8</v>
      </c>
      <c r="Z6" s="133">
        <f>_1435f</f>
        <v>1.5</v>
      </c>
      <c r="AA6" s="42" t="str">
        <f>IF(Z6="","","bis")</f>
        <v>bis</v>
      </c>
      <c r="AB6" s="134">
        <f>_1435g</f>
        <v>3</v>
      </c>
    </row>
    <row r="7" spans="1:28" ht="18" thickBot="1" x14ac:dyDescent="0.35">
      <c r="A7" s="21">
        <v>5</v>
      </c>
      <c r="B7" s="17">
        <f>(((SQRT($B$5)*$B$3)/SQRT(3))*60000)/($A$7*$B$16)</f>
        <v>277.12812921102039</v>
      </c>
      <c r="C7" s="17">
        <f>(((SQRT($C$5)*$B$3)/SQRT(3))*60000)/($A$7*$B$16)</f>
        <v>391.9183588453086</v>
      </c>
      <c r="D7" s="17">
        <f>(((SQRT($D$5)*$B$3)/SQRT(3))*60000)/($A$7*$B$16)</f>
        <v>480</v>
      </c>
      <c r="F7" s="106" t="str">
        <f>_1436b</f>
        <v>Lechler</v>
      </c>
      <c r="G7" s="106" t="str">
        <f>_1436c</f>
        <v>ES 90 02E POM</v>
      </c>
      <c r="H7" s="132">
        <f>_1436h</f>
        <v>1.5</v>
      </c>
      <c r="I7" s="42" t="str">
        <f>IF(H7="","","bis")</f>
        <v>bis</v>
      </c>
      <c r="J7" s="19">
        <f>_1436i</f>
        <v>3</v>
      </c>
      <c r="K7" s="20">
        <f>(((SQRT($H7)*$B$3)/SQRT(3))*60000)/($B$12*$B$16)</f>
        <v>5.6568542494923797</v>
      </c>
      <c r="L7" s="42" t="str">
        <f>IF(K7="","","bis")</f>
        <v>bis</v>
      </c>
      <c r="M7" s="18">
        <f>(((SQRT($J7)*$B$3)/SQRT(3))*60000)/($B$12*$B$16)</f>
        <v>8</v>
      </c>
      <c r="N7" s="19">
        <f>_1436j</f>
        <v>1.5</v>
      </c>
      <c r="O7" s="42" t="str">
        <f>IF(N7="","","bis")</f>
        <v>bis</v>
      </c>
      <c r="P7" s="19">
        <f>_1436k</f>
        <v>3</v>
      </c>
      <c r="Q7" s="20">
        <f>(((SQRT($N7)*$B$3)/SQRT(3))*60000)/($B$12*$B$16)</f>
        <v>5.6568542494923797</v>
      </c>
      <c r="R7" s="42" t="str">
        <f>IF(Q7="","","bis")</f>
        <v>bis</v>
      </c>
      <c r="S7" s="18">
        <f>(((SQRT($P7)*$B$3)/SQRT(3))*60000)/($B$12*$B$16)</f>
        <v>8</v>
      </c>
      <c r="T7" s="132">
        <f>_1436l</f>
        <v>1.5</v>
      </c>
      <c r="U7" s="42" t="str">
        <f>IF(T7="","","bis")</f>
        <v>bis</v>
      </c>
      <c r="V7" s="19">
        <f>_1436m</f>
        <v>3</v>
      </c>
      <c r="W7" s="20">
        <f>(((SQRT($T7)*$B$3)/SQRT(3))*60000)/($B$12*$B$16)</f>
        <v>5.6568542494923797</v>
      </c>
      <c r="X7" s="42" t="str">
        <f>IF(W7="","","bis")</f>
        <v>bis</v>
      </c>
      <c r="Y7" s="18">
        <f>(((SQRT($V7)*$B$3)/SQRT(3))*60000)/($B$12*$B$16)</f>
        <v>8</v>
      </c>
      <c r="Z7" s="133">
        <f>_1436f</f>
        <v>1.5</v>
      </c>
      <c r="AA7" s="42" t="str">
        <f>IF(Z7="","","bis")</f>
        <v>bis</v>
      </c>
      <c r="AB7" s="134">
        <f>_1436g</f>
        <v>3</v>
      </c>
    </row>
    <row r="8" spans="1:28" ht="18" thickBot="1" x14ac:dyDescent="0.35">
      <c r="A8" s="21">
        <v>6</v>
      </c>
      <c r="B8" s="17">
        <f>(((SQRT($B$5)*$B$3)/SQRT(3))*60000)/($A$8*$B$16)</f>
        <v>230.94010767585033</v>
      </c>
      <c r="C8" s="17">
        <f>(((SQRT($C$5)*$B$3)/SQRT(3))*60000)/($A$8*$B$16)</f>
        <v>326.5986323710905</v>
      </c>
      <c r="D8" s="17">
        <f>(((SQRT($D$5)*$B$3)/SQRT(3))*60000)/($A$8*$B$16)</f>
        <v>400</v>
      </c>
      <c r="F8" s="106" t="str">
        <f>_2242b</f>
        <v>Agrotop</v>
      </c>
      <c r="G8" s="106" t="str">
        <f>_2242c</f>
        <v>RowFan 40-02E</v>
      </c>
      <c r="H8" s="132">
        <f>_2242h</f>
        <v>2</v>
      </c>
      <c r="I8" s="42" t="str">
        <f>IF(H8="","","bis")</f>
        <v>bis</v>
      </c>
      <c r="J8" s="18">
        <f>_2242i</f>
        <v>4</v>
      </c>
      <c r="K8" s="20">
        <f>(((SQRT($H8)*$B$3)/SQRT(3))*60000)/($B$12*$B$16)</f>
        <v>6.5319726474218101</v>
      </c>
      <c r="L8" s="42" t="str">
        <f>IF(K8="","","bis")</f>
        <v>bis</v>
      </c>
      <c r="M8" s="18">
        <f>(((SQRT($J8)*$B$3)/SQRT(3))*60000)/($B$12*$B$16)</f>
        <v>9.2376043070340135</v>
      </c>
      <c r="N8" s="20">
        <f>_2242j</f>
        <v>2</v>
      </c>
      <c r="O8" s="42" t="str">
        <f>IF(N8="","","bis")</f>
        <v>bis</v>
      </c>
      <c r="P8" s="18">
        <f>_2242k</f>
        <v>4</v>
      </c>
      <c r="Q8" s="20">
        <f>(((SQRT($N8)*$B$3)/SQRT(3))*60000)/($B$12*$B$16)</f>
        <v>6.5319726474218101</v>
      </c>
      <c r="R8" s="42" t="str">
        <f>IF(Q8="","","bis")</f>
        <v>bis</v>
      </c>
      <c r="S8" s="18">
        <f>(((SQRT($P8)*$B$3)/SQRT(3))*60000)/($B$12*$B$16)</f>
        <v>9.2376043070340135</v>
      </c>
      <c r="T8" s="20">
        <f>_2242l</f>
        <v>2</v>
      </c>
      <c r="U8" s="42" t="str">
        <f>IF(T8="","","bis")</f>
        <v>bis</v>
      </c>
      <c r="V8" s="18">
        <f>_2242m</f>
        <v>4</v>
      </c>
      <c r="W8" s="20">
        <f>(((SQRT($T8)*$B$3)/SQRT(3))*60000)/($B$12*$B$16)</f>
        <v>6.5319726474218101</v>
      </c>
      <c r="X8" s="42" t="str">
        <f>IF(W8="","","bis")</f>
        <v>bis</v>
      </c>
      <c r="Y8" s="18">
        <f>(((SQRT($V8)*$B$3)/SQRT(3))*60000)/($B$12*$B$16)</f>
        <v>9.2376043070340135</v>
      </c>
      <c r="Z8" s="133">
        <f>_2242f</f>
        <v>2</v>
      </c>
      <c r="AA8" s="42" t="str">
        <f>IF(Z8="","","bis")</f>
        <v>bis</v>
      </c>
      <c r="AB8" s="134">
        <f>_2242g</f>
        <v>6</v>
      </c>
    </row>
    <row r="9" spans="1:28" ht="18" thickBot="1" x14ac:dyDescent="0.35">
      <c r="A9" s="21">
        <v>7</v>
      </c>
      <c r="B9" s="17">
        <f>(((SQRT($B$5)*$B$3)/SQRT(3))*60000)/($A$9*$B$16)</f>
        <v>197.94866372215742</v>
      </c>
      <c r="C9" s="17">
        <f>(((SQRT($C$5)*$B$3)/SQRT(3))*60000)/($A$9*$B$16)</f>
        <v>279.94168488950618</v>
      </c>
      <c r="D9" s="17">
        <f>(((SQRT($D$5)*$B$3)/SQRT(3))*60000)/($A$9*$B$16)</f>
        <v>342.85714285714283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(((SQRT($H9)*$B$3)/SQRT(3))*60000)/($B$12*$B$16)</f>
        <v>0</v>
      </c>
      <c r="L9" s="42" t="str">
        <f>IF(K9="","","bis")</f>
        <v>bis</v>
      </c>
      <c r="M9" s="18">
        <f>(((SQRT($J9)*$B$3)/SQRT(3))*60000)/($B$12*$B$16)</f>
        <v>0</v>
      </c>
      <c r="N9" s="20"/>
      <c r="O9" s="42" t="str">
        <f>IF(N9="","","bis")</f>
        <v/>
      </c>
      <c r="P9" s="18"/>
      <c r="Q9" s="20">
        <f>(((SQRT($N9)*$B$3)/SQRT(3))*60000)/($B$12*$B$16)</f>
        <v>0</v>
      </c>
      <c r="R9" s="42" t="str">
        <f>IF(Q9="","","bis")</f>
        <v>bis</v>
      </c>
      <c r="S9" s="18">
        <f>(((SQRT($P9)*$B$3)/SQRT(3))*60000)/($B$12*$B$16)</f>
        <v>0</v>
      </c>
      <c r="T9" s="20"/>
      <c r="U9" s="42" t="str">
        <f>IF(T9="","","bis")</f>
        <v/>
      </c>
      <c r="V9" s="19"/>
      <c r="W9" s="20">
        <f>(((SQRT($T9)*$B$3)/SQRT(3))*60000)/($B$12*$B$16)</f>
        <v>0</v>
      </c>
      <c r="X9" s="42" t="str">
        <f>IF(W9="","","bis")</f>
        <v>bis</v>
      </c>
      <c r="Y9" s="18">
        <f>(((SQRT($V9)*$B$3)/SQRT(3))*60000)/($B$12*$B$16)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8</v>
      </c>
      <c r="B10" s="27">
        <f>(((SQRT($B$5)*$B$3)/SQRT(3))*60000)/($A$10*$B$16)</f>
        <v>173.20508075688775</v>
      </c>
      <c r="C10" s="27">
        <f>(((SQRT($C$5)*$B$3)/SQRT(3))*60000)/($A$10*$B$16)</f>
        <v>244.94897427831788</v>
      </c>
      <c r="D10" s="27">
        <f>(((SQRT($D$5)*$B$3)/SQRT(3))*60000)/($A$10*$B$16)</f>
        <v>300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(((SQRT($H10)*$B$3)/SQRT(3))*60000)/($B$12*$B$16)</f>
        <v>0</v>
      </c>
      <c r="L10" s="42" t="str">
        <f>IF(K10="","","bis")</f>
        <v>bis</v>
      </c>
      <c r="M10" s="18">
        <f>(((SQRT($J10)*$B$3)/SQRT(3))*60000)/($B$12*$B$16)</f>
        <v>0</v>
      </c>
      <c r="N10" s="20"/>
      <c r="O10" s="42" t="str">
        <f>IF(N10="","","bis")</f>
        <v/>
      </c>
      <c r="P10" s="18"/>
      <c r="Q10" s="20">
        <f>(((SQRT($N10)*$B$3)/SQRT(3))*60000)/($B$12*$B$16)</f>
        <v>0</v>
      </c>
      <c r="R10" s="42" t="str">
        <f>IF(Q10="","","bis")</f>
        <v>bis</v>
      </c>
      <c r="S10" s="18">
        <f>(((SQRT($P10)*$B$3)/SQRT(3))*60000)/($B$12*$B$16)</f>
        <v>0</v>
      </c>
      <c r="T10" s="20"/>
      <c r="U10" s="42" t="str">
        <f>IF(T10="","","bis")</f>
        <v/>
      </c>
      <c r="V10" s="18"/>
      <c r="W10" s="20">
        <f>(((SQRT($T10)*$B$3)/SQRT(3))*60000)/($B$12*$B$16)</f>
        <v>0</v>
      </c>
      <c r="X10" s="42" t="str">
        <f>IF(W10="","","bis")</f>
        <v>bis</v>
      </c>
      <c r="Y10" s="18">
        <f>(((SQRT($V10)*$B$3)/SQRT(3))*60000)/($B$12*$B$16)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300</v>
      </c>
      <c r="C12" s="24"/>
      <c r="D12" s="418"/>
      <c r="E12" s="418"/>
      <c r="F12" s="49"/>
      <c r="G12" s="115"/>
    </row>
    <row r="13" spans="1:28" ht="18" thickBot="1" x14ac:dyDescent="0.35">
      <c r="A13" s="23" t="s">
        <v>57</v>
      </c>
      <c r="B13" s="25">
        <f>POWER(((SQRT(3)*$C$13)/$B$3),2)</f>
        <v>1.9804687499999991</v>
      </c>
      <c r="C13" s="45">
        <f>(B12*B14*B16)/60000</f>
        <v>0.65</v>
      </c>
      <c r="D13" s="422"/>
      <c r="E13" s="422"/>
      <c r="F13" s="49"/>
      <c r="G13" s="115"/>
    </row>
    <row r="14" spans="1:28" ht="18" thickBot="1" x14ac:dyDescent="0.35">
      <c r="A14" s="23" t="s">
        <v>58</v>
      </c>
      <c r="B14" s="9">
        <v>6.5</v>
      </c>
      <c r="D14" s="182"/>
      <c r="E14" s="115"/>
      <c r="F14" s="179"/>
      <c r="G14" s="115"/>
    </row>
    <row r="15" spans="1:28" ht="18" thickBot="1" x14ac:dyDescent="0.35">
      <c r="A15" s="23"/>
      <c r="B15" s="49"/>
      <c r="C15" s="26"/>
      <c r="D15" s="418"/>
      <c r="E15" s="418"/>
      <c r="F15" s="181"/>
      <c r="G15" s="184">
        <f>(B12*B18/100)*B19</f>
        <v>133.33333333333331</v>
      </c>
    </row>
    <row r="16" spans="1:28" ht="18" thickBot="1" x14ac:dyDescent="0.35">
      <c r="A16" s="174" t="s">
        <v>89</v>
      </c>
      <c r="B16" s="28">
        <v>20</v>
      </c>
    </row>
    <row r="17" spans="1:12" ht="18" thickBot="1" x14ac:dyDescent="0.35">
      <c r="A17" s="175" t="s">
        <v>90</v>
      </c>
      <c r="B17" s="28">
        <v>45</v>
      </c>
    </row>
    <row r="18" spans="1:12" ht="18" thickBot="1" x14ac:dyDescent="0.35">
      <c r="A18" s="46" t="s">
        <v>91</v>
      </c>
      <c r="B18" s="47">
        <f>(B16*100)/B17</f>
        <v>44.444444444444443</v>
      </c>
    </row>
    <row r="19" spans="1:12" ht="18" thickBot="1" x14ac:dyDescent="0.35">
      <c r="A19" s="174" t="s">
        <v>92</v>
      </c>
      <c r="B19" s="48">
        <v>1</v>
      </c>
      <c r="C19" s="186"/>
    </row>
    <row r="20" spans="1:12" ht="18" thickBot="1" x14ac:dyDescent="0.35">
      <c r="A20" s="11" t="s">
        <v>236</v>
      </c>
      <c r="B20" s="177">
        <v>1.5</v>
      </c>
      <c r="C20" s="186"/>
      <c r="J20" s="406">
        <f>B20*((B16/B17)*B19)</f>
        <v>0.66666666666666663</v>
      </c>
      <c r="K20" s="407"/>
      <c r="L20" s="408"/>
    </row>
  </sheetData>
  <sheetProtection algorithmName="SHA-512" hashValue="AHpR9lqc7pyeyou0Sdg+jKaIVhyXPpdo/Rd7m35qmLYBmDQIzSU2u07VmcIElfOhAXX3WEQ4wjAUlGz2AJLRfw==" saltValue="LD/G/ek34R4gXr2yDPmKeQ==" spinCount="100000" sheet="1" objects="1" scenarios="1"/>
  <mergeCells count="15">
    <mergeCell ref="J20:L20"/>
    <mergeCell ref="D12:E12"/>
    <mergeCell ref="D13:E13"/>
    <mergeCell ref="D15:E15"/>
    <mergeCell ref="B3:D3"/>
    <mergeCell ref="H4:M4"/>
    <mergeCell ref="Z4:AB5"/>
    <mergeCell ref="H5:J5"/>
    <mergeCell ref="K5:M5"/>
    <mergeCell ref="N5:P5"/>
    <mergeCell ref="Q5:S5"/>
    <mergeCell ref="T5:V5"/>
    <mergeCell ref="W5:Y5"/>
    <mergeCell ref="N4:S4"/>
    <mergeCell ref="T4:Y4"/>
  </mergeCells>
  <conditionalFormatting sqref="C6">
    <cfRule type="cellIs" dxfId="651" priority="14" operator="greaterThan">
      <formula>$B$12</formula>
    </cfRule>
  </conditionalFormatting>
  <conditionalFormatting sqref="D6">
    <cfRule type="cellIs" dxfId="650" priority="13" operator="greaterThan">
      <formula>$B$12</formula>
    </cfRule>
  </conditionalFormatting>
  <conditionalFormatting sqref="B7">
    <cfRule type="cellIs" dxfId="649" priority="12" operator="greaterThan">
      <formula>$B$12</formula>
    </cfRule>
  </conditionalFormatting>
  <conditionalFormatting sqref="C7">
    <cfRule type="cellIs" dxfId="648" priority="11" operator="greaterThan">
      <formula>$B$12</formula>
    </cfRule>
  </conditionalFormatting>
  <conditionalFormatting sqref="D7">
    <cfRule type="cellIs" dxfId="647" priority="10" operator="greaterThan">
      <formula>$B$12</formula>
    </cfRule>
  </conditionalFormatting>
  <conditionalFormatting sqref="B8">
    <cfRule type="cellIs" dxfId="646" priority="9" operator="greaterThan">
      <formula>$B$12</formula>
    </cfRule>
  </conditionalFormatting>
  <conditionalFormatting sqref="C8">
    <cfRule type="cellIs" dxfId="645" priority="8" operator="greaterThan">
      <formula>$B$12</formula>
    </cfRule>
  </conditionalFormatting>
  <conditionalFormatting sqref="D8">
    <cfRule type="cellIs" dxfId="644" priority="7" operator="greaterThan">
      <formula>$B$12</formula>
    </cfRule>
  </conditionalFormatting>
  <conditionalFormatting sqref="B9">
    <cfRule type="cellIs" dxfId="643" priority="6" operator="greaterThan">
      <formula>$B$12</formula>
    </cfRule>
  </conditionalFormatting>
  <conditionalFormatting sqref="B10">
    <cfRule type="cellIs" dxfId="642" priority="5" operator="greaterThan">
      <formula>$B$12</formula>
    </cfRule>
  </conditionalFormatting>
  <conditionalFormatting sqref="C9">
    <cfRule type="cellIs" dxfId="641" priority="4" operator="greaterThan">
      <formula>$B$12</formula>
    </cfRule>
  </conditionalFormatting>
  <conditionalFormatting sqref="D9">
    <cfRule type="cellIs" dxfId="640" priority="3" operator="greaterThan">
      <formula>$B$12</formula>
    </cfRule>
  </conditionalFormatting>
  <conditionalFormatting sqref="C10">
    <cfRule type="cellIs" dxfId="639" priority="2" operator="greaterThan">
      <formula>$B$12</formula>
    </cfRule>
  </conditionalFormatting>
  <conditionalFormatting sqref="D10">
    <cfRule type="cellIs" dxfId="638" priority="1" operator="greaterThan">
      <formula>$B$12</formula>
    </cfRule>
  </conditionalFormatting>
  <conditionalFormatting sqref="B6">
    <cfRule type="cellIs" dxfId="637" priority="15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2.554687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3" t="s">
        <v>63</v>
      </c>
      <c r="B3" s="423">
        <v>1</v>
      </c>
      <c r="C3" s="423"/>
      <c r="D3" s="424"/>
      <c r="E3" s="11" t="s">
        <v>135</v>
      </c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115.47005383792516</v>
      </c>
      <c r="C6" s="17">
        <f>(((SQRT(C5)*$B$3)/SQRT(3))*$C$15)/$A6</f>
        <v>200</v>
      </c>
      <c r="D6" s="17">
        <f>(((SQRT(D5)*$B$3)/SQRT(3))*$C$15)/$A6</f>
        <v>282.84271247461896</v>
      </c>
      <c r="F6" s="106"/>
      <c r="G6" s="106"/>
      <c r="H6" s="132"/>
      <c r="I6" s="42" t="str">
        <f>IF(H6="","","bis")</f>
        <v/>
      </c>
      <c r="J6" s="19"/>
      <c r="K6" s="20">
        <f>(((SQRT($H6)*$B$3)/SQRT(3))*60000)/($B$12*$B$15)</f>
        <v>0</v>
      </c>
      <c r="L6" s="42" t="str">
        <f>IF(K6="","","bis")</f>
        <v>bis</v>
      </c>
      <c r="M6" s="18">
        <f>(((SQRT($J6)*$B$3)/SQRT(3))*60000)/($B$12*$B$15)</f>
        <v>0</v>
      </c>
      <c r="N6" s="19"/>
      <c r="O6" s="42" t="str">
        <f>IF(N6="","","bis")</f>
        <v/>
      </c>
      <c r="P6" s="18"/>
      <c r="Q6" s="20">
        <f>(((SQRT($N6)*$B$3)/SQRT(3))*60000)/($B$12*$B$15)</f>
        <v>0</v>
      </c>
      <c r="R6" s="42" t="str">
        <f>IF(Q6="","","bis")</f>
        <v>bis</v>
      </c>
      <c r="S6" s="18">
        <f>(((SQRT($P6)*$B$3)/SQRT(3))*60000)/($B$12*$B$15)</f>
        <v>0</v>
      </c>
      <c r="T6" s="20"/>
      <c r="U6" s="42" t="str">
        <f>IF(T6="","","bis")</f>
        <v/>
      </c>
      <c r="V6" s="19"/>
      <c r="W6" s="20">
        <f>(((SQRT($T6)*$B$3)/SQRT(3))*60000)/($B$12*$B$15)</f>
        <v>0</v>
      </c>
      <c r="X6" s="42" t="str">
        <f>IF(W6="","","bis")</f>
        <v>bis</v>
      </c>
      <c r="Y6" s="19">
        <f>(((SQRT($V6)*$B$3)/SQRT(3))*60000)/($B$12*$B$15)</f>
        <v>0</v>
      </c>
      <c r="Z6" s="133"/>
      <c r="AA6" s="42" t="str">
        <f>IF(Z6="","","bis")</f>
        <v/>
      </c>
      <c r="AB6" s="134"/>
    </row>
    <row r="7" spans="1:28" ht="18" thickBot="1" x14ac:dyDescent="0.35">
      <c r="A7" s="21">
        <v>7</v>
      </c>
      <c r="B7" s="17">
        <f>(((SQRT(B5)*$B$3)/SQRT(3))*$C$15)/$A7</f>
        <v>98.97433186107871</v>
      </c>
      <c r="C7" s="17">
        <f>(((SQRT(C5)*$B$3)/SQRT(3))*$C$15)/$A7</f>
        <v>171.42857142857142</v>
      </c>
      <c r="D7" s="17">
        <f>(((SQRT(D5)*$B$3)/SQRT(3))*$C$15)/$A7</f>
        <v>242.43661069253056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86.602540378443877</v>
      </c>
      <c r="C8" s="17">
        <f>(((SQRT(C5)*$B$3)/SQRT(3))*1200)/$A8</f>
        <v>150</v>
      </c>
      <c r="D8" s="17">
        <f>(((SQRT(D5)*$B$3)/SQRT(3))*1200)/$A8</f>
        <v>212.13203435596424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76.980035891950109</v>
      </c>
      <c r="C9" s="17">
        <f>(((SQRT(C5)*$B$3)/SQRT(3))*$C$15)/$A9</f>
        <v>133.33333333333334</v>
      </c>
      <c r="D9" s="17">
        <f>(((SQRT(D5)*$B$3)/SQRT(3))*$C$15)/$A9</f>
        <v>188.56180831641265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69.282032302755098</v>
      </c>
      <c r="C10" s="27">
        <f>(((SQRT(C5)*$B$3)/SQRT(3))*$C$15)/$A10</f>
        <v>120</v>
      </c>
      <c r="D10" s="27">
        <f>(((SQRT(D5)*$B$3)/SQRT(3))*$C$15)/$A10</f>
        <v>169.70562748477138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</row>
    <row r="13" spans="1:28" ht="18" thickBot="1" x14ac:dyDescent="0.35">
      <c r="A13" s="23" t="s">
        <v>57</v>
      </c>
      <c r="B13" s="25">
        <f>POWER(((SQRT(3)*$C$13)/$B$3),2)</f>
        <v>11.999999999999998</v>
      </c>
      <c r="C13" s="26">
        <f>(B12*B14*B15)/60000</f>
        <v>2</v>
      </c>
    </row>
    <row r="14" spans="1:28" ht="18" thickBot="1" x14ac:dyDescent="0.35">
      <c r="A14" s="23" t="s">
        <v>58</v>
      </c>
      <c r="B14" s="9">
        <v>12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</row>
  </sheetData>
  <sheetProtection algorithmName="SHA-512" hashValue="FMNo52okoya61Z3zwoGLWr8fMV/uJ5Ci/WKals4E/3EEMHM11N0EjceCDyp0SA/f5t/q0mwYXJ+jN9eVLWKrCA==" saltValue="sEedeQoOGxXVoRFg0DnQ/g==" spinCount="100000" sheet="1" objects="1" scenarios="1"/>
  <mergeCells count="11">
    <mergeCell ref="Z4:AB5"/>
    <mergeCell ref="H5:J5"/>
    <mergeCell ref="K5:M5"/>
    <mergeCell ref="N5:P5"/>
    <mergeCell ref="Q5:S5"/>
    <mergeCell ref="T5:V5"/>
    <mergeCell ref="B3:D3"/>
    <mergeCell ref="W5:Y5"/>
    <mergeCell ref="H4:M4"/>
    <mergeCell ref="N4:S4"/>
    <mergeCell ref="T4:Y4"/>
  </mergeCells>
  <conditionalFormatting sqref="B6">
    <cfRule type="cellIs" dxfId="636" priority="15" operator="greaterThan">
      <formula>$B$12</formula>
    </cfRule>
  </conditionalFormatting>
  <conditionalFormatting sqref="C6">
    <cfRule type="cellIs" dxfId="635" priority="14" operator="greaterThan">
      <formula>$B$12</formula>
    </cfRule>
  </conditionalFormatting>
  <conditionalFormatting sqref="D6">
    <cfRule type="cellIs" dxfId="634" priority="13" operator="greaterThan">
      <formula>$B$12</formula>
    </cfRule>
  </conditionalFormatting>
  <conditionalFormatting sqref="B7">
    <cfRule type="cellIs" dxfId="633" priority="12" operator="greaterThan">
      <formula>$B$12</formula>
    </cfRule>
  </conditionalFormatting>
  <conditionalFormatting sqref="C7">
    <cfRule type="cellIs" dxfId="632" priority="11" operator="greaterThan">
      <formula>$B$12</formula>
    </cfRule>
  </conditionalFormatting>
  <conditionalFormatting sqref="D7">
    <cfRule type="cellIs" dxfId="631" priority="10" operator="greaterThan">
      <formula>$B$12</formula>
    </cfRule>
  </conditionalFormatting>
  <conditionalFormatting sqref="B8">
    <cfRule type="cellIs" dxfId="630" priority="9" operator="greaterThan">
      <formula>$B$12</formula>
    </cfRule>
  </conditionalFormatting>
  <conditionalFormatting sqref="B9">
    <cfRule type="cellIs" dxfId="629" priority="8" operator="greaterThan">
      <formula>$B$12</formula>
    </cfRule>
  </conditionalFormatting>
  <conditionalFormatting sqref="B10">
    <cfRule type="cellIs" dxfId="628" priority="7" operator="greaterThan">
      <formula>$B$12</formula>
    </cfRule>
  </conditionalFormatting>
  <conditionalFormatting sqref="C8">
    <cfRule type="cellIs" dxfId="627" priority="6" operator="greaterThan">
      <formula>$B$12</formula>
    </cfRule>
  </conditionalFormatting>
  <conditionalFormatting sqref="D8">
    <cfRule type="cellIs" dxfId="626" priority="5" operator="greaterThan">
      <formula>$B$12</formula>
    </cfRule>
  </conditionalFormatting>
  <conditionalFormatting sqref="C9">
    <cfRule type="cellIs" dxfId="625" priority="4" operator="greaterThan">
      <formula>$B$12</formula>
    </cfRule>
  </conditionalFormatting>
  <conditionalFormatting sqref="D9">
    <cfRule type="cellIs" dxfId="624" priority="3" operator="greaterThan">
      <formula>$B$12</formula>
    </cfRule>
  </conditionalFormatting>
  <conditionalFormatting sqref="C10">
    <cfRule type="cellIs" dxfId="623" priority="2" operator="greaterThan">
      <formula>$B$12</formula>
    </cfRule>
  </conditionalFormatting>
  <conditionalFormatting sqref="D10">
    <cfRule type="cellIs" dxfId="622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8.109375" style="11" bestFit="1" customWidth="1"/>
    <col min="8" max="14" width="6.6640625" style="11" customWidth="1"/>
    <col min="15" max="20" width="6.6640625" style="12" customWidth="1"/>
    <col min="21" max="34" width="6.6640625" style="11" customWidth="1"/>
    <col min="35" max="16384" width="11.44140625" style="11"/>
  </cols>
  <sheetData>
    <row r="1" spans="1:34" x14ac:dyDescent="0.3">
      <c r="A1" s="10"/>
    </row>
    <row r="2" spans="1:34" ht="18" thickBot="1" x14ac:dyDescent="0.35"/>
    <row r="3" spans="1:34" ht="18" thickBot="1" x14ac:dyDescent="0.35">
      <c r="A3" s="33" t="s">
        <v>63</v>
      </c>
      <c r="B3" s="423">
        <v>1</v>
      </c>
      <c r="C3" s="423"/>
      <c r="D3" s="424"/>
    </row>
    <row r="4" spans="1:34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411">
        <v>0.95</v>
      </c>
      <c r="AA4" s="412"/>
      <c r="AB4" s="412"/>
      <c r="AC4" s="412"/>
      <c r="AD4" s="412"/>
      <c r="AE4" s="413"/>
      <c r="AF4" s="391" t="s">
        <v>53</v>
      </c>
      <c r="AG4" s="392"/>
      <c r="AH4" s="393"/>
    </row>
    <row r="5" spans="1:34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414" t="s">
        <v>14</v>
      </c>
      <c r="AA5" s="415"/>
      <c r="AB5" s="416"/>
      <c r="AC5" s="414" t="s">
        <v>55</v>
      </c>
      <c r="AD5" s="415"/>
      <c r="AE5" s="416"/>
      <c r="AF5" s="394"/>
      <c r="AG5" s="395"/>
      <c r="AH5" s="396"/>
    </row>
    <row r="6" spans="1:34" ht="18" thickBot="1" x14ac:dyDescent="0.35">
      <c r="A6" s="16">
        <v>6</v>
      </c>
      <c r="B6" s="17">
        <f>(((SQRT(B5)*$B$3)/SQRT(3))*$C$15)/$A6</f>
        <v>230.94010767585033</v>
      </c>
      <c r="C6" s="17">
        <f>(((SQRT(C5)*$B$3)/SQRT(3))*$C$15)/$A6</f>
        <v>400</v>
      </c>
      <c r="D6" s="17">
        <f>(((SQRT(D5)*$B$3)/SQRT(3))*$C$15)/$A6</f>
        <v>565.68542494923793</v>
      </c>
      <c r="F6" s="106" t="str">
        <f>_2300b</f>
        <v>Lechler</v>
      </c>
      <c r="G6" s="106" t="str">
        <f>_2300c</f>
        <v>IDK 90 025</v>
      </c>
      <c r="H6" s="132">
        <f>_2300h</f>
        <v>1.5</v>
      </c>
      <c r="I6" s="42" t="str">
        <f>IF(H6="","","bis")</f>
        <v>bis</v>
      </c>
      <c r="J6" s="19">
        <f>_2300i</f>
        <v>2</v>
      </c>
      <c r="K6" s="20">
        <f>(((SQRT($H6)*$B$3)/SQRT(3))*60000)/($B$12*$B$15)</f>
        <v>8.4852813742385695</v>
      </c>
      <c r="L6" s="42" t="str">
        <f>IF(K6="","","bis")</f>
        <v>bis</v>
      </c>
      <c r="M6" s="18">
        <f>(((SQRT($J6)*$B$3)/SQRT(3))*60000)/($B$12*$B$15)</f>
        <v>9.7979589711327133</v>
      </c>
      <c r="N6" s="19">
        <f>_2300j</f>
        <v>1.5</v>
      </c>
      <c r="O6" s="42" t="str">
        <f>IF(N6="","","bis")</f>
        <v>bis</v>
      </c>
      <c r="P6" s="18">
        <f>_2300k</f>
        <v>2</v>
      </c>
      <c r="Q6" s="20">
        <f>(((SQRT($N6)*$B$3)/SQRT(3))*60000)/($B$12*$B$15)</f>
        <v>8.4852813742385695</v>
      </c>
      <c r="R6" s="42" t="str">
        <f>IF(Q6="","","bis")</f>
        <v>bis</v>
      </c>
      <c r="S6" s="18">
        <f>(((SQRT($P6)*$B$3)/SQRT(3))*60000)/($B$12*$B$15)</f>
        <v>9.7979589711327133</v>
      </c>
      <c r="T6" s="20">
        <f>_2300l</f>
        <v>1.5</v>
      </c>
      <c r="U6" s="42" t="str">
        <f>IF(T6="","","bis")</f>
        <v>bis</v>
      </c>
      <c r="V6" s="19">
        <f>_2300m</f>
        <v>2</v>
      </c>
      <c r="W6" s="20">
        <f>(((SQRT($T6)*$B$3)/SQRT(3))*60000)/($B$12*$B$15)</f>
        <v>8.4852813742385695</v>
      </c>
      <c r="X6" s="42" t="str">
        <f>IF(W6="","","bis")</f>
        <v>bis</v>
      </c>
      <c r="Y6" s="19">
        <f>(((SQRT($V6)*$B$3)/SQRT(3))*60000)/($B$12*$B$15)</f>
        <v>9.7979589711327133</v>
      </c>
      <c r="Z6" s="20">
        <f>_2300n</f>
        <v>1.5</v>
      </c>
      <c r="AA6" s="42" t="str">
        <f>IF(Z6="","","bis")</f>
        <v>bis</v>
      </c>
      <c r="AB6" s="18">
        <f>_2300o</f>
        <v>2</v>
      </c>
      <c r="AC6" s="20">
        <f>(((SQRT($Z6)*$B$3)/SQRT(3))*60000)/($B$12*$B$15)</f>
        <v>8.4852813742385695</v>
      </c>
      <c r="AD6" s="42" t="str">
        <f>IF(AC6="","","bis")</f>
        <v>bis</v>
      </c>
      <c r="AE6" s="18">
        <f>(((SQRT($AB6)*$B$3)/SQRT(3))*60000)/($B$12*$B$15)</f>
        <v>9.7979589711327133</v>
      </c>
      <c r="AF6" s="133">
        <f>_2300f</f>
        <v>1.5</v>
      </c>
      <c r="AG6" s="42" t="str">
        <f>IF(AF6="","","bis")</f>
        <v>bis</v>
      </c>
      <c r="AH6" s="134">
        <f>_2300g</f>
        <v>8</v>
      </c>
    </row>
    <row r="7" spans="1:34" ht="18" thickBot="1" x14ac:dyDescent="0.35">
      <c r="A7" s="21">
        <v>7</v>
      </c>
      <c r="B7" s="17">
        <f>(((SQRT(B5)*$B$3)/SQRT(3))*$C$15)/$A7</f>
        <v>197.94866372215742</v>
      </c>
      <c r="C7" s="17">
        <f>(((SQRT(C5)*$B$3)/SQRT(3))*$C$15)/$A7</f>
        <v>342.85714285714283</v>
      </c>
      <c r="D7" s="17">
        <f>(((SQRT(D5)*$B$3)/SQRT(3))*$C$15)/$A7</f>
        <v>484.87322138506113</v>
      </c>
      <c r="F7" s="106" t="str">
        <f>_2319b</f>
        <v>JohnDeere</v>
      </c>
      <c r="G7" s="106" t="str">
        <f>_2319c</f>
        <v>LDAC 90 025</v>
      </c>
      <c r="H7" s="132">
        <f>_2319h</f>
        <v>1.5</v>
      </c>
      <c r="I7" s="42" t="str">
        <f>IF(H7="","","bis")</f>
        <v>bis</v>
      </c>
      <c r="J7" s="18">
        <f>_2319i</f>
        <v>2</v>
      </c>
      <c r="K7" s="20">
        <f>(((SQRT($H7)*$B$3)/SQRT(3))*60000)/($B$12*$B$15)</f>
        <v>8.4852813742385695</v>
      </c>
      <c r="L7" s="42" t="str">
        <f>IF(K7="","","bis")</f>
        <v>bis</v>
      </c>
      <c r="M7" s="18">
        <f>(((SQRT($J7)*$B$3)/SQRT(3))*60000)/($B$12*$B$15)</f>
        <v>9.7979589711327133</v>
      </c>
      <c r="N7" s="20">
        <f>_2319j</f>
        <v>1.5</v>
      </c>
      <c r="O7" s="42" t="str">
        <f>IF(N7="","","bis")</f>
        <v>bis</v>
      </c>
      <c r="P7" s="18">
        <f>_2319k</f>
        <v>2</v>
      </c>
      <c r="Q7" s="20">
        <f>(((SQRT($N7)*$B$3)/SQRT(3))*60000)/($B$12*$B$15)</f>
        <v>8.4852813742385695</v>
      </c>
      <c r="R7" s="42" t="str">
        <f>IF(Q7="","","bis")</f>
        <v>bis</v>
      </c>
      <c r="S7" s="18">
        <f>(((SQRT($P7)*$B$3)/SQRT(3))*60000)/($B$12*$B$15)</f>
        <v>9.7979589711327133</v>
      </c>
      <c r="T7" s="20">
        <f>_2319l</f>
        <v>1.5</v>
      </c>
      <c r="U7" s="42" t="str">
        <f>IF(T7="","","bis")</f>
        <v>bis</v>
      </c>
      <c r="V7" s="18">
        <f>_2319m</f>
        <v>2</v>
      </c>
      <c r="W7" s="20">
        <f>(((SQRT($T7)*$B$3)/SQRT(3))*60000)/($B$12*$B$15)</f>
        <v>8.4852813742385695</v>
      </c>
      <c r="X7" s="42" t="str">
        <f>IF(W7="","","bis")</f>
        <v>bis</v>
      </c>
      <c r="Y7" s="18">
        <f>(((SQRT($V7)*$B$3)/SQRT(3))*60000)/($B$12*$B$15)</f>
        <v>9.7979589711327133</v>
      </c>
      <c r="Z7" s="20">
        <f>_2319n</f>
        <v>1.5</v>
      </c>
      <c r="AA7" s="42" t="str">
        <f>IF(Z7="","","bis")</f>
        <v>bis</v>
      </c>
      <c r="AB7" s="18">
        <f>_2319o</f>
        <v>2</v>
      </c>
      <c r="AC7" s="20">
        <f>(((SQRT($Z7)*$B$3)/SQRT(3))*60000)/($B$12*$B$15)</f>
        <v>8.4852813742385695</v>
      </c>
      <c r="AD7" s="19" t="str">
        <f t="shared" ref="AD7:AD10" si="0">IF(AC7="","","bis")</f>
        <v>bis</v>
      </c>
      <c r="AE7" s="18">
        <f>(((SQRT($AB7)*$B$3)/SQRT(3))*60000)/($B$12*$B$15)</f>
        <v>9.7979589711327133</v>
      </c>
      <c r="AF7" s="133">
        <f>_2319f</f>
        <v>1.5</v>
      </c>
      <c r="AG7" s="42" t="str">
        <f>IF(AF7="","","bis")</f>
        <v>bis</v>
      </c>
      <c r="AH7" s="134">
        <f>_2319g</f>
        <v>8</v>
      </c>
    </row>
    <row r="8" spans="1:34" ht="18" thickBot="1" x14ac:dyDescent="0.35">
      <c r="A8" s="21">
        <v>8</v>
      </c>
      <c r="B8" s="17">
        <f>(((SQRT(B5)*$B$3)/SQRT(3))*$C$15)/$A8</f>
        <v>173.20508075688775</v>
      </c>
      <c r="C8" s="17">
        <f>(((SQRT(C5)*$B$3)/SQRT(3))*1200)/$A8</f>
        <v>150</v>
      </c>
      <c r="D8" s="17">
        <f>(((SQRT(D5)*$B$3)/SQRT(3))*1200)/$A8</f>
        <v>212.13203435596424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20"/>
      <c r="AA8" s="42" t="str">
        <f>IF(Z8="","","bis")</f>
        <v/>
      </c>
      <c r="AB8" s="18"/>
      <c r="AC8" s="20">
        <f>(((SQRT($Z8)*$B$3)/SQRT(3))*60000)/($B$12*$B$15)</f>
        <v>0</v>
      </c>
      <c r="AD8" s="19" t="str">
        <f t="shared" si="0"/>
        <v>bis</v>
      </c>
      <c r="AE8" s="18">
        <f>(((SQRT($AB8)*$B$3)/SQRT(3))*60000)/($B$12*$B$15)</f>
        <v>0</v>
      </c>
      <c r="AF8" s="133"/>
      <c r="AG8" s="42" t="str">
        <f>IF(AF8="","","bis")</f>
        <v/>
      </c>
      <c r="AH8" s="134"/>
    </row>
    <row r="9" spans="1:34" ht="18" thickBot="1" x14ac:dyDescent="0.35">
      <c r="A9" s="21">
        <v>9</v>
      </c>
      <c r="B9" s="17">
        <f>(((SQRT(B5)*$B$3)/SQRT(3))*$C$15)/$A9</f>
        <v>153.96007178390022</v>
      </c>
      <c r="C9" s="17">
        <f>(((SQRT(C5)*$B$3)/SQRT(3))*$C$15)/$A9</f>
        <v>266.66666666666669</v>
      </c>
      <c r="D9" s="17">
        <f>(((SQRT(D5)*$B$3)/SQRT(3))*$C$15)/$A9</f>
        <v>377.1236166328253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20"/>
      <c r="AA9" s="42" t="str">
        <f>IF(Z9="","","bis")</f>
        <v/>
      </c>
      <c r="AB9" s="18"/>
      <c r="AC9" s="20">
        <f>(((SQRT($Z9)*$B$3)/SQRT(3))*60000)/($B$12*$B$15)</f>
        <v>0</v>
      </c>
      <c r="AD9" s="19" t="str">
        <f t="shared" si="0"/>
        <v>bis</v>
      </c>
      <c r="AE9" s="18">
        <f>(((SQRT($AB9)*$B$3)/SQRT(3))*60000)/($B$12*$B$15)</f>
        <v>0</v>
      </c>
      <c r="AF9" s="133"/>
      <c r="AG9" s="42" t="str">
        <f>IF(AF9="","","bis")</f>
        <v/>
      </c>
      <c r="AH9" s="134"/>
    </row>
    <row r="10" spans="1:34" ht="18" thickBot="1" x14ac:dyDescent="0.35">
      <c r="A10" s="22">
        <v>10</v>
      </c>
      <c r="B10" s="27">
        <f>(((SQRT(B5)*$B$3)/SQRT(3))*$C$15)/$A10</f>
        <v>138.5640646055102</v>
      </c>
      <c r="C10" s="27">
        <f>(((SQRT(C5)*$B$3)/SQRT(3))*$C$15)/$A10</f>
        <v>240</v>
      </c>
      <c r="D10" s="27">
        <f>(((SQRT(D5)*$B$3)/SQRT(3))*$C$15)/$A10</f>
        <v>339.41125496954277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20"/>
      <c r="AA10" s="42" t="str">
        <f>IF(Z10="","","bis")</f>
        <v/>
      </c>
      <c r="AB10" s="18"/>
      <c r="AC10" s="20">
        <f>(((SQRT($Z10)*$B$3)/SQRT(3))*60000)/($B$12*$B$15)</f>
        <v>0</v>
      </c>
      <c r="AD10" s="19" t="str">
        <f t="shared" si="0"/>
        <v>bis</v>
      </c>
      <c r="AE10" s="18">
        <f>(((SQRT($AB10)*$B$3)/SQRT(3))*60000)/($B$12*$B$15)</f>
        <v>0</v>
      </c>
      <c r="AF10" s="133"/>
      <c r="AG10" s="42" t="str">
        <f>IF(AF10="","","bis")</f>
        <v/>
      </c>
      <c r="AH10" s="134"/>
    </row>
    <row r="11" spans="1:34" ht="18" thickBot="1" x14ac:dyDescent="0.35">
      <c r="J11" s="2"/>
    </row>
    <row r="12" spans="1:34" ht="18" thickBot="1" x14ac:dyDescent="0.35">
      <c r="A12" s="23" t="s">
        <v>56</v>
      </c>
      <c r="B12" s="8">
        <v>200</v>
      </c>
      <c r="C12" s="24"/>
    </row>
    <row r="13" spans="1:34" ht="18" thickBot="1" x14ac:dyDescent="0.35">
      <c r="A13" s="23" t="s">
        <v>57</v>
      </c>
      <c r="B13" s="25">
        <f>POWER(((SQRT(3)*$C$13)/$B$3),2)</f>
        <v>1.3333333333333333</v>
      </c>
      <c r="C13" s="26">
        <f>(B12*B14*B15)/60000</f>
        <v>0.66666666666666663</v>
      </c>
    </row>
    <row r="14" spans="1:34" ht="18" thickBot="1" x14ac:dyDescent="0.35">
      <c r="A14" s="23" t="s">
        <v>58</v>
      </c>
      <c r="B14" s="9">
        <v>8</v>
      </c>
    </row>
    <row r="15" spans="1:34" ht="18" thickBot="1" x14ac:dyDescent="0.35">
      <c r="A15" s="23" t="s">
        <v>61</v>
      </c>
      <c r="B15" s="29">
        <v>25</v>
      </c>
      <c r="C15" s="26">
        <f>(60000/B15)</f>
        <v>2400</v>
      </c>
    </row>
  </sheetData>
  <sheetProtection algorithmName="SHA-512" hashValue="doZ1tgs+cZldE6IDLt0UNPliJ1SjEgkeN3XsK6U0yQ2PKqiWQ46hSpJlIJmxiu3ltQqZa6pCZ/K8iDYIMjJy6A==" saltValue="pr4gDEWuDEOwZFCrT9edPA==" spinCount="100000" sheet="1" objects="1" scenarios="1"/>
  <mergeCells count="14">
    <mergeCell ref="B3:D3"/>
    <mergeCell ref="H4:M4"/>
    <mergeCell ref="N4:S4"/>
    <mergeCell ref="T4:Y4"/>
    <mergeCell ref="AF4:AH5"/>
    <mergeCell ref="H5:J5"/>
    <mergeCell ref="K5:M5"/>
    <mergeCell ref="N5:P5"/>
    <mergeCell ref="Q5:S5"/>
    <mergeCell ref="T5:V5"/>
    <mergeCell ref="W5:Y5"/>
    <mergeCell ref="Z4:AE4"/>
    <mergeCell ref="Z5:AB5"/>
    <mergeCell ref="AC5:AE5"/>
  </mergeCells>
  <conditionalFormatting sqref="B6">
    <cfRule type="cellIs" dxfId="621" priority="15" operator="greaterThan">
      <formula>$B$12</formula>
    </cfRule>
  </conditionalFormatting>
  <conditionalFormatting sqref="C6">
    <cfRule type="cellIs" dxfId="620" priority="14" operator="greaterThan">
      <formula>$B$12</formula>
    </cfRule>
  </conditionalFormatting>
  <conditionalFormatting sqref="D6">
    <cfRule type="cellIs" dxfId="619" priority="13" operator="greaterThan">
      <formula>$B$12</formula>
    </cfRule>
  </conditionalFormatting>
  <conditionalFormatting sqref="B7">
    <cfRule type="cellIs" dxfId="618" priority="12" operator="greaterThan">
      <formula>$B$12</formula>
    </cfRule>
  </conditionalFormatting>
  <conditionalFormatting sqref="C7">
    <cfRule type="cellIs" dxfId="617" priority="11" operator="greaterThan">
      <formula>$B$12</formula>
    </cfRule>
  </conditionalFormatting>
  <conditionalFormatting sqref="D7">
    <cfRule type="cellIs" dxfId="616" priority="10" operator="greaterThan">
      <formula>$B$12</formula>
    </cfRule>
  </conditionalFormatting>
  <conditionalFormatting sqref="B8">
    <cfRule type="cellIs" dxfId="615" priority="9" operator="greaterThan">
      <formula>$B$12</formula>
    </cfRule>
  </conditionalFormatting>
  <conditionalFormatting sqref="B9">
    <cfRule type="cellIs" dxfId="614" priority="8" operator="greaterThan">
      <formula>$B$12</formula>
    </cfRule>
  </conditionalFormatting>
  <conditionalFormatting sqref="B10">
    <cfRule type="cellIs" dxfId="613" priority="7" operator="greaterThan">
      <formula>$B$12</formula>
    </cfRule>
  </conditionalFormatting>
  <conditionalFormatting sqref="C8">
    <cfRule type="cellIs" dxfId="612" priority="6" operator="greaterThan">
      <formula>$B$12</formula>
    </cfRule>
  </conditionalFormatting>
  <conditionalFormatting sqref="D8">
    <cfRule type="cellIs" dxfId="611" priority="5" operator="greaterThan">
      <formula>$B$12</formula>
    </cfRule>
  </conditionalFormatting>
  <conditionalFormatting sqref="C9">
    <cfRule type="cellIs" dxfId="610" priority="4" operator="greaterThan">
      <formula>$B$12</formula>
    </cfRule>
  </conditionalFormatting>
  <conditionalFormatting sqref="D9">
    <cfRule type="cellIs" dxfId="609" priority="3" operator="greaterThan">
      <formula>$B$12</formula>
    </cfRule>
  </conditionalFormatting>
  <conditionalFormatting sqref="C10">
    <cfRule type="cellIs" dxfId="608" priority="2" operator="greaterThan">
      <formula>$B$12</formula>
    </cfRule>
  </conditionalFormatting>
  <conditionalFormatting sqref="D10">
    <cfRule type="cellIs" dxfId="607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2.66406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3" t="s">
        <v>63</v>
      </c>
      <c r="B3" s="423">
        <v>1</v>
      </c>
      <c r="C3" s="423"/>
      <c r="D3" s="424"/>
      <c r="E3" s="11" t="s">
        <v>137</v>
      </c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163.29931618554522</v>
      </c>
      <c r="C6" s="17">
        <f>(((SQRT(C5)*$B$3)/SQRT(3))*$C$15)/$A6</f>
        <v>258.19888974716116</v>
      </c>
      <c r="D6" s="17">
        <f>(((SQRT(D5)*$B$3)/SQRT(3))*$C$15)/$A6</f>
        <v>326.59863237109045</v>
      </c>
      <c r="F6" s="106" t="str">
        <f>_1965b</f>
        <v>Lechler</v>
      </c>
      <c r="G6" s="106" t="str">
        <f>_1965c</f>
        <v>ID (3) 120 025</v>
      </c>
      <c r="H6" s="132">
        <f>_1965h</f>
        <v>2</v>
      </c>
      <c r="I6" s="42" t="str">
        <f>IF(H6="","","bis")</f>
        <v>bis</v>
      </c>
      <c r="J6" s="19">
        <f>_1965i</f>
        <v>7</v>
      </c>
      <c r="K6" s="20">
        <f>(((SQRT($H6)*$B$3)/SQRT(3))*60000)/($B$12*$B$15)</f>
        <v>4.8989794855663567</v>
      </c>
      <c r="L6" s="42" t="str">
        <f>IF(K6="","","bis")</f>
        <v>bis</v>
      </c>
      <c r="M6" s="18">
        <f>(((SQRT($J6)*$B$3)/SQRT(3))*60000)/($B$12*$B$15)</f>
        <v>9.1651513899116814</v>
      </c>
      <c r="N6" s="19">
        <f>_1965j</f>
        <v>2</v>
      </c>
      <c r="O6" s="42" t="str">
        <f>IF(N6="","","bis")</f>
        <v>bis</v>
      </c>
      <c r="P6" s="18">
        <f>_1965k</f>
        <v>4</v>
      </c>
      <c r="Q6" s="20">
        <f>(((SQRT($N6)*$B$3)/SQRT(3))*60000)/($B$12*$B$15)</f>
        <v>4.8989794855663567</v>
      </c>
      <c r="R6" s="42" t="str">
        <f>IF(Q6="","","bis")</f>
        <v>bis</v>
      </c>
      <c r="S6" s="18">
        <f>(((SQRT($P6)*$B$3)/SQRT(3))*60000)/($B$12*$B$15)</f>
        <v>6.9282032302755105</v>
      </c>
      <c r="T6" s="20">
        <f>_1965l</f>
        <v>2</v>
      </c>
      <c r="U6" s="42" t="str">
        <f>IF(T6="","","bis")</f>
        <v>bis</v>
      </c>
      <c r="V6" s="19">
        <f>_1965m</f>
        <v>2.5</v>
      </c>
      <c r="W6" s="20">
        <f>(((SQRT($T6)*$B$3)/SQRT(3))*60000)/($B$12*$B$15)</f>
        <v>4.8989794855663567</v>
      </c>
      <c r="X6" s="42" t="str">
        <f>IF(W6="","","bis")</f>
        <v>bis</v>
      </c>
      <c r="Y6" s="19">
        <f>(((SQRT($V6)*$B$3)/SQRT(3))*60000)/($B$12*$B$15)</f>
        <v>5.4772255750516621</v>
      </c>
      <c r="Z6" s="133">
        <f>_1965f</f>
        <v>2</v>
      </c>
      <c r="AA6" s="42" t="str">
        <f>IF(Z6="","","bis")</f>
        <v>bis</v>
      </c>
      <c r="AB6" s="134">
        <f>_1965g</f>
        <v>8</v>
      </c>
    </row>
    <row r="7" spans="1:28" ht="18" thickBot="1" x14ac:dyDescent="0.35">
      <c r="A7" s="21">
        <v>7</v>
      </c>
      <c r="B7" s="17">
        <f>(((SQRT(B5)*$B$3)/SQRT(3))*$C$15)/$A7</f>
        <v>139.97084244475306</v>
      </c>
      <c r="C7" s="17">
        <f>(((SQRT(C5)*$B$3)/SQRT(3))*$C$15)/$A7</f>
        <v>221.31333406899529</v>
      </c>
      <c r="D7" s="17">
        <f>(((SQRT(D5)*$B$3)/SQRT(3))*$C$15)/$A7</f>
        <v>279.94168488950612</v>
      </c>
      <c r="F7" s="106" t="str">
        <f>_2204b</f>
        <v>Lechler</v>
      </c>
      <c r="G7" s="106" t="str">
        <f>_2204c</f>
        <v>PSULDCQ20025</v>
      </c>
      <c r="H7" s="132">
        <f>_2204h</f>
        <v>2</v>
      </c>
      <c r="I7" s="42" t="str">
        <f>IF(H7="","","bis")</f>
        <v>bis</v>
      </c>
      <c r="J7" s="18">
        <f>_2204i</f>
        <v>6</v>
      </c>
      <c r="K7" s="20">
        <f>(((SQRT($H7)*$B$3)/SQRT(3))*60000)/($B$12*$B$15)</f>
        <v>4.8989794855663567</v>
      </c>
      <c r="L7" s="42" t="str">
        <f>IF(K7="","","bis")</f>
        <v>bis</v>
      </c>
      <c r="M7" s="18">
        <f>(((SQRT($J7)*$B$3)/SQRT(3))*60000)/($B$12*$B$15)</f>
        <v>8.4852813742385695</v>
      </c>
      <c r="N7" s="20">
        <f>_2204j</f>
        <v>2</v>
      </c>
      <c r="O7" s="42" t="str">
        <f>IF(N7="","","bis")</f>
        <v>bis</v>
      </c>
      <c r="P7" s="18">
        <f>_2204k</f>
        <v>4</v>
      </c>
      <c r="Q7" s="20">
        <f>(((SQRT($N7)*$B$3)/SQRT(3))*60000)/($B$12*$B$15)</f>
        <v>4.8989794855663567</v>
      </c>
      <c r="R7" s="42" t="str">
        <f>IF(Q7="","","bis")</f>
        <v>bis</v>
      </c>
      <c r="S7" s="18">
        <f>(((SQRT($P7)*$B$3)/SQRT(3))*60000)/($B$12*$B$15)</f>
        <v>6.9282032302755105</v>
      </c>
      <c r="T7" s="20">
        <f>_2204l</f>
        <v>2</v>
      </c>
      <c r="U7" s="42" t="str">
        <f>IF(T7="","","bis")</f>
        <v>bis</v>
      </c>
      <c r="V7" s="18">
        <f>_2204m</f>
        <v>2.5</v>
      </c>
      <c r="W7" s="20">
        <f>(((SQRT($T7)*$B$3)/SQRT(3))*60000)/($B$12*$B$15)</f>
        <v>4.8989794855663567</v>
      </c>
      <c r="X7" s="42" t="str">
        <f>IF(W7="","","bis")</f>
        <v>bis</v>
      </c>
      <c r="Y7" s="18">
        <f>(((SQRT($V7)*$B$3)/SQRT(3))*60000)/($B$12*$B$15)</f>
        <v>5.4772255750516621</v>
      </c>
      <c r="Z7" s="133">
        <f>_2204f</f>
        <v>2</v>
      </c>
      <c r="AA7" s="42" t="str">
        <f>IF(Z7="","","bis")</f>
        <v>bis</v>
      </c>
      <c r="AB7" s="134">
        <f>_2204g</f>
        <v>8</v>
      </c>
    </row>
    <row r="8" spans="1:28" ht="18" thickBot="1" x14ac:dyDescent="0.35">
      <c r="A8" s="21">
        <v>8</v>
      </c>
      <c r="B8" s="17">
        <f>(((SQRT(B5)*$B$3)/SQRT(3))*$C$15)/$A8</f>
        <v>122.47448713915892</v>
      </c>
      <c r="C8" s="17">
        <f>(((SQRT(C5)*$B$3)/SQRT(3))*1200)/$A8</f>
        <v>193.64916731037087</v>
      </c>
      <c r="D8" s="17">
        <f>(((SQRT(D5)*$B$3)/SQRT(3))*1200)/$A8</f>
        <v>244.94897427831785</v>
      </c>
      <c r="F8" s="106" t="str">
        <f>_1737b</f>
        <v>TeeJet</v>
      </c>
      <c r="G8" s="106" t="str">
        <f>_1737c</f>
        <v>TTI 110 025</v>
      </c>
      <c r="H8" s="132">
        <f>_1737h</f>
        <v>1.5</v>
      </c>
      <c r="I8" s="42" t="str">
        <f>IF(H8="","","bis")</f>
        <v>bis</v>
      </c>
      <c r="J8" s="18">
        <f>_1737i</f>
        <v>5</v>
      </c>
      <c r="K8" s="20">
        <f>(((SQRT($H8)*$B$3)/SQRT(3))*60000)/($B$12*$B$15)</f>
        <v>4.2426406871192848</v>
      </c>
      <c r="L8" s="42" t="str">
        <f>IF(K8="","","bis")</f>
        <v>bis</v>
      </c>
      <c r="M8" s="18">
        <f>(((SQRT($J8)*$B$3)/SQRT(3))*60000)/($B$12*$B$15)</f>
        <v>7.7459666924148349</v>
      </c>
      <c r="N8" s="20">
        <f>_1737j</f>
        <v>1.5</v>
      </c>
      <c r="O8" s="42" t="str">
        <f>IF(N8="","","bis")</f>
        <v>bis</v>
      </c>
      <c r="P8" s="18">
        <f>_1737k</f>
        <v>2.5</v>
      </c>
      <c r="Q8" s="20">
        <f>(((SQRT($N8)*$B$3)/SQRT(3))*60000)/($B$12*$B$15)</f>
        <v>4.2426406871192848</v>
      </c>
      <c r="R8" s="42" t="str">
        <f>IF(Q8="","","bis")</f>
        <v>bis</v>
      </c>
      <c r="S8" s="18">
        <f>(((SQRT($P8)*$B$3)/SQRT(3))*60000)/($B$12*$B$15)</f>
        <v>5.4772255750516621</v>
      </c>
      <c r="T8" s="20">
        <f>_1737l</f>
        <v>1.5</v>
      </c>
      <c r="U8" s="42" t="str">
        <f>IF(T8="","","bis")</f>
        <v>bis</v>
      </c>
      <c r="V8" s="18">
        <f>_1737m</f>
        <v>1.5</v>
      </c>
      <c r="W8" s="20">
        <f>(((SQRT($T8)*$B$3)/SQRT(3))*60000)/($B$12*$B$15)</f>
        <v>4.2426406871192848</v>
      </c>
      <c r="X8" s="42" t="str">
        <f>IF(W8="","","bis")</f>
        <v>bis</v>
      </c>
      <c r="Y8" s="18">
        <f>(((SQRT($V8)*$B$3)/SQRT(3))*60000)/($B$12*$B$15)</f>
        <v>4.2426406871192848</v>
      </c>
      <c r="Z8" s="133">
        <f>_1737f</f>
        <v>1.5</v>
      </c>
      <c r="AA8" s="42" t="str">
        <f>IF(Z8="","","bis")</f>
        <v>bis</v>
      </c>
      <c r="AB8" s="134">
        <f>_1737g</f>
        <v>7</v>
      </c>
    </row>
    <row r="9" spans="1:28" ht="18" thickBot="1" x14ac:dyDescent="0.35">
      <c r="A9" s="21">
        <v>9</v>
      </c>
      <c r="B9" s="17">
        <f>(((SQRT(B5)*$B$3)/SQRT(3))*$C$15)/$A9</f>
        <v>108.86621079036348</v>
      </c>
      <c r="C9" s="17">
        <f>(((SQRT(C5)*$B$3)/SQRT(3))*$C$15)/$A9</f>
        <v>172.13259316477411</v>
      </c>
      <c r="D9" s="17">
        <f>(((SQRT(D5)*$B$3)/SQRT(3))*$C$15)/$A9</f>
        <v>217.73242158072696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97.979589711327137</v>
      </c>
      <c r="C10" s="27">
        <f>(((SQRT(C5)*$B$3)/SQRT(3))*$C$15)/$A10</f>
        <v>154.9193338482967</v>
      </c>
      <c r="D10" s="27">
        <f>(((SQRT(D5)*$B$3)/SQRT(3))*$C$15)/$A10</f>
        <v>195.95917942265427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5.333333333333333</v>
      </c>
      <c r="C13" s="26">
        <f>(B12*B14*B15)/60000</f>
        <v>1.3333333333333333</v>
      </c>
      <c r="D13" s="25">
        <f>POWER(((SQRT(3)*$E$13)/$B$3),2)</f>
        <v>24.083333333333332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8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bOTFp0UlGBrb2Vn5WoPwzd5p9uQrOszOD4FAKeq5yH/WDnCoq1JcA6MUpHmpk7AP+/gfvMK3DH9L+u2lQ9rMYg==" saltValue="Ik0KeBGATFhDiK80kQKnZA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6">
    <cfRule type="cellIs" dxfId="606" priority="15" operator="greaterThan">
      <formula>$B$12</formula>
    </cfRule>
  </conditionalFormatting>
  <conditionalFormatting sqref="C6">
    <cfRule type="cellIs" dxfId="605" priority="14" operator="greaterThan">
      <formula>$B$12</formula>
    </cfRule>
  </conditionalFormatting>
  <conditionalFormatting sqref="D6">
    <cfRule type="cellIs" dxfId="604" priority="13" operator="greaterThan">
      <formula>$B$12</formula>
    </cfRule>
  </conditionalFormatting>
  <conditionalFormatting sqref="B7">
    <cfRule type="cellIs" dxfId="603" priority="12" operator="greaterThan">
      <formula>$B$12</formula>
    </cfRule>
  </conditionalFormatting>
  <conditionalFormatting sqref="C7">
    <cfRule type="cellIs" dxfId="602" priority="11" operator="greaterThan">
      <formula>$B$12</formula>
    </cfRule>
  </conditionalFormatting>
  <conditionalFormatting sqref="D7">
    <cfRule type="cellIs" dxfId="601" priority="10" operator="greaterThan">
      <formula>$B$12</formula>
    </cfRule>
  </conditionalFormatting>
  <conditionalFormatting sqref="B8">
    <cfRule type="cellIs" dxfId="600" priority="9" operator="greaterThan">
      <formula>$B$12</formula>
    </cfRule>
  </conditionalFormatting>
  <conditionalFormatting sqref="B9">
    <cfRule type="cellIs" dxfId="599" priority="8" operator="greaterThan">
      <formula>$B$12</formula>
    </cfRule>
  </conditionalFormatting>
  <conditionalFormatting sqref="B10">
    <cfRule type="cellIs" dxfId="598" priority="7" operator="greaterThan">
      <formula>$B$12</formula>
    </cfRule>
  </conditionalFormatting>
  <conditionalFormatting sqref="C8">
    <cfRule type="cellIs" dxfId="597" priority="6" operator="greaterThan">
      <formula>$B$12</formula>
    </cfRule>
  </conditionalFormatting>
  <conditionalFormatting sqref="D8">
    <cfRule type="cellIs" dxfId="596" priority="5" operator="greaterThan">
      <formula>$B$12</formula>
    </cfRule>
  </conditionalFormatting>
  <conditionalFormatting sqref="C9">
    <cfRule type="cellIs" dxfId="595" priority="4" operator="greaterThan">
      <formula>$B$12</formula>
    </cfRule>
  </conditionalFormatting>
  <conditionalFormatting sqref="D9">
    <cfRule type="cellIs" dxfId="594" priority="3" operator="greaterThan">
      <formula>$B$12</formula>
    </cfRule>
  </conditionalFormatting>
  <conditionalFormatting sqref="C10">
    <cfRule type="cellIs" dxfId="593" priority="2" operator="greaterThan">
      <formula>$B$12</formula>
    </cfRule>
  </conditionalFormatting>
  <conditionalFormatting sqref="D10">
    <cfRule type="cellIs" dxfId="592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7.554687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3" t="s">
        <v>63</v>
      </c>
      <c r="B3" s="423">
        <v>1</v>
      </c>
      <c r="C3" s="423"/>
      <c r="D3" s="424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115.47005383792516</v>
      </c>
      <c r="C6" s="17">
        <f>(((SQRT(C5)*$B$3)/SQRT(3))*$C$15)/$A6</f>
        <v>200</v>
      </c>
      <c r="D6" s="17">
        <f>(((SQRT(D5)*$B$3)/SQRT(3))*$C$15)/$A6</f>
        <v>282.84271247461896</v>
      </c>
      <c r="F6" s="106" t="str">
        <f>_1912b</f>
        <v>Lechler</v>
      </c>
      <c r="G6" s="106" t="str">
        <f>_1912c</f>
        <v>IDKT 120 025</v>
      </c>
      <c r="H6" s="132">
        <f>_1912h</f>
        <v>1.5</v>
      </c>
      <c r="I6" s="42" t="str">
        <f>IF(H6="","","bis")</f>
        <v>bis</v>
      </c>
      <c r="J6" s="19">
        <f>_1912i</f>
        <v>3</v>
      </c>
      <c r="K6" s="20">
        <f>(((SQRT($H6)*$B$3)/SQRT(3))*60000)/($B$12*$B$15)</f>
        <v>4.5866385806694971</v>
      </c>
      <c r="L6" s="42" t="str">
        <f>IF(K6="","","bis")</f>
        <v>bis</v>
      </c>
      <c r="M6" s="18">
        <f>(((SQRT($J6)*$B$3)/SQRT(3))*60000)/($B$12*$B$15)</f>
        <v>6.4864864864864868</v>
      </c>
      <c r="N6" s="19">
        <f>_1912j</f>
        <v>1.5</v>
      </c>
      <c r="O6" s="42" t="str">
        <f>IF(N6="","","bis")</f>
        <v>bis</v>
      </c>
      <c r="P6" s="18">
        <f>_1912k</f>
        <v>2</v>
      </c>
      <c r="Q6" s="20">
        <f>(((SQRT($N6)*$B$3)/SQRT(3))*60000)/($B$12*$B$15)</f>
        <v>4.5866385806694971</v>
      </c>
      <c r="R6" s="42" t="str">
        <f>IF(Q6="","","bis")</f>
        <v>bis</v>
      </c>
      <c r="S6" s="18">
        <f>(((SQRT($P6)*$B$3)/SQRT(3))*60000)/($B$12*$B$15)</f>
        <v>5.2961940384501158</v>
      </c>
      <c r="T6" s="20">
        <f>_1912l</f>
        <v>1.5</v>
      </c>
      <c r="U6" s="42" t="str">
        <f>IF(T6="","","bis")</f>
        <v>bis</v>
      </c>
      <c r="V6" s="19">
        <f>_1912m</f>
        <v>1.5</v>
      </c>
      <c r="W6" s="20">
        <f>(((SQRT($T6)*$B$3)/SQRT(3))*60000)/($B$12*$B$15)</f>
        <v>4.5866385806694971</v>
      </c>
      <c r="X6" s="42" t="str">
        <f>IF(W6="","","bis")</f>
        <v>bis</v>
      </c>
      <c r="Y6" s="19">
        <f>(((SQRT($V6)*$B$3)/SQRT(3))*60000)/($B$12*$B$15)</f>
        <v>4.5866385806694971</v>
      </c>
      <c r="Z6" s="133">
        <f>_1912f</f>
        <v>1.5</v>
      </c>
      <c r="AA6" s="42" t="str">
        <f>IF(Z6="","","bis")</f>
        <v>bis</v>
      </c>
      <c r="AB6" s="134">
        <f>_1912g</f>
        <v>6</v>
      </c>
    </row>
    <row r="7" spans="1:28" ht="18" thickBot="1" x14ac:dyDescent="0.35">
      <c r="A7" s="21">
        <v>7</v>
      </c>
      <c r="B7" s="17">
        <f>(((SQRT(B5)*$B$3)/SQRT(3))*$C$15)/$A7</f>
        <v>98.97433186107871</v>
      </c>
      <c r="C7" s="17">
        <f>(((SQRT(C5)*$B$3)/SQRT(3))*$C$15)/$A7</f>
        <v>171.42857142857142</v>
      </c>
      <c r="D7" s="17">
        <f>(((SQRT(D5)*$B$3)/SQRT(3))*$C$15)/$A7</f>
        <v>242.43661069253056</v>
      </c>
      <c r="F7" s="106" t="str">
        <f>_2129b</f>
        <v>Hardi</v>
      </c>
      <c r="G7" s="106" t="str">
        <f>_2129c</f>
        <v>Minidrift Duo 110 025</v>
      </c>
      <c r="H7" s="132">
        <f>_2129h</f>
        <v>1.5</v>
      </c>
      <c r="I7" s="42" t="str">
        <f>IF(H7="","","bis")</f>
        <v>bis</v>
      </c>
      <c r="J7" s="18">
        <f>_2129i</f>
        <v>3</v>
      </c>
      <c r="K7" s="20">
        <f>(((SQRT($H7)*$B$3)/SQRT(3))*60000)/($B$12*$B$15)</f>
        <v>4.5866385806694971</v>
      </c>
      <c r="L7" s="42" t="str">
        <f>IF(K7="","","bis")</f>
        <v>bis</v>
      </c>
      <c r="M7" s="18">
        <f>(((SQRT($J7)*$B$3)/SQRT(3))*60000)/($B$12*$B$15)</f>
        <v>6.4864864864864868</v>
      </c>
      <c r="N7" s="20">
        <f>_2129j</f>
        <v>1.5</v>
      </c>
      <c r="O7" s="42" t="str">
        <f>IF(N7="","","bis")</f>
        <v>bis</v>
      </c>
      <c r="P7" s="18">
        <f>_2129k</f>
        <v>2</v>
      </c>
      <c r="Q7" s="20">
        <f>(((SQRT($N7)*$B$3)/SQRT(3))*60000)/($B$12*$B$15)</f>
        <v>4.5866385806694971</v>
      </c>
      <c r="R7" s="42" t="str">
        <f>IF(Q7="","","bis")</f>
        <v>bis</v>
      </c>
      <c r="S7" s="18">
        <f>(((SQRT($P7)*$B$3)/SQRT(3))*60000)/($B$12*$B$15)</f>
        <v>5.2961940384501158</v>
      </c>
      <c r="T7" s="20">
        <f>_2129l</f>
        <v>1.5</v>
      </c>
      <c r="U7" s="42" t="str">
        <f>IF(T7="","","bis")</f>
        <v>bis</v>
      </c>
      <c r="V7" s="18">
        <f>_2129m</f>
        <v>1.5</v>
      </c>
      <c r="W7" s="20">
        <f>(((SQRT($T7)*$B$3)/SQRT(3))*60000)/($B$12*$B$15)</f>
        <v>4.5866385806694971</v>
      </c>
      <c r="X7" s="42" t="str">
        <f>IF(W7="","","bis")</f>
        <v>bis</v>
      </c>
      <c r="Y7" s="18">
        <f>(((SQRT($V7)*$B$3)/SQRT(3))*60000)/($B$12*$B$15)</f>
        <v>4.5866385806694971</v>
      </c>
      <c r="Z7" s="133">
        <f>_2129f</f>
        <v>1.5</v>
      </c>
      <c r="AA7" s="42" t="str">
        <f>IF(Z7="","","bis")</f>
        <v>bis</v>
      </c>
      <c r="AB7" s="134">
        <f>_2129g</f>
        <v>6</v>
      </c>
    </row>
    <row r="8" spans="1:28" ht="18" thickBot="1" x14ac:dyDescent="0.35">
      <c r="A8" s="21">
        <v>8</v>
      </c>
      <c r="B8" s="17">
        <f>(((SQRT(B5)*$B$3)/SQRT(3))*$C$15)/$A8</f>
        <v>86.602540378443877</v>
      </c>
      <c r="C8" s="17">
        <f>(((SQRT(C5)*$B$3)/SQRT(3))*1200)/$A8</f>
        <v>150</v>
      </c>
      <c r="D8" s="17">
        <f>(((SQRT(D5)*$B$3)/SQRT(3))*1200)/$A8</f>
        <v>212.13203435596424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76.980035891950109</v>
      </c>
      <c r="C9" s="17">
        <f>(((SQRT(C5)*$B$3)/SQRT(3))*$C$15)/$A9</f>
        <v>133.33333333333334</v>
      </c>
      <c r="D9" s="17">
        <f>(((SQRT(D5)*$B$3)/SQRT(3))*$C$15)/$A9</f>
        <v>188.56180831641265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69.282032302755098</v>
      </c>
      <c r="C10" s="27">
        <f>(((SQRT(C5)*$B$3)/SQRT(3))*$C$15)/$A10</f>
        <v>120</v>
      </c>
      <c r="D10" s="27">
        <f>(((SQRT(D5)*$B$3)/SQRT(3))*$C$15)/$A10</f>
        <v>169.70562748477138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185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2.566875</v>
      </c>
      <c r="C13" s="26">
        <f>(B12*B14*B15)/60000</f>
        <v>0.92500000000000004</v>
      </c>
      <c r="D13" s="25">
        <f>POWER(((SQRT(3)*$E$13)/$B$3),2)</f>
        <v>24.083333333333332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6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6cdvY4vgEEHS69I+ogP5VqNUFMFN8gZr/lmCNoVyu6QsD/CxnsGOipEuyuEFzSOoAUwxSMJoJAK+S5DUr9W8OA==" saltValue="jd4tbaT8oYUtrBmXYpmhuQ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6">
    <cfRule type="cellIs" dxfId="591" priority="15" operator="greaterThan">
      <formula>$B$12</formula>
    </cfRule>
  </conditionalFormatting>
  <conditionalFormatting sqref="C6">
    <cfRule type="cellIs" dxfId="590" priority="14" operator="greaterThan">
      <formula>$B$12</formula>
    </cfRule>
  </conditionalFormatting>
  <conditionalFormatting sqref="D6">
    <cfRule type="cellIs" dxfId="589" priority="13" operator="greaterThan">
      <formula>$B$12</formula>
    </cfRule>
  </conditionalFormatting>
  <conditionalFormatting sqref="B7">
    <cfRule type="cellIs" dxfId="588" priority="12" operator="greaterThan">
      <formula>$B$12</formula>
    </cfRule>
  </conditionalFormatting>
  <conditionalFormatting sqref="C7">
    <cfRule type="cellIs" dxfId="587" priority="11" operator="greaterThan">
      <formula>$B$12</formula>
    </cfRule>
  </conditionalFormatting>
  <conditionalFormatting sqref="D7">
    <cfRule type="cellIs" dxfId="586" priority="10" operator="greaterThan">
      <formula>$B$12</formula>
    </cfRule>
  </conditionalFormatting>
  <conditionalFormatting sqref="B8">
    <cfRule type="cellIs" dxfId="585" priority="9" operator="greaterThan">
      <formula>$B$12</formula>
    </cfRule>
  </conditionalFormatting>
  <conditionalFormatting sqref="B9">
    <cfRule type="cellIs" dxfId="584" priority="8" operator="greaterThan">
      <formula>$B$12</formula>
    </cfRule>
  </conditionalFormatting>
  <conditionalFormatting sqref="B10">
    <cfRule type="cellIs" dxfId="583" priority="7" operator="greaterThan">
      <formula>$B$12</formula>
    </cfRule>
  </conditionalFormatting>
  <conditionalFormatting sqref="C8">
    <cfRule type="cellIs" dxfId="582" priority="6" operator="greaterThan">
      <formula>$B$12</formula>
    </cfRule>
  </conditionalFormatting>
  <conditionalFormatting sqref="D8">
    <cfRule type="cellIs" dxfId="581" priority="5" operator="greaterThan">
      <formula>$B$12</formula>
    </cfRule>
  </conditionalFormatting>
  <conditionalFormatting sqref="C9">
    <cfRule type="cellIs" dxfId="580" priority="4" operator="greaterThan">
      <formula>$B$12</formula>
    </cfRule>
  </conditionalFormatting>
  <conditionalFormatting sqref="D9">
    <cfRule type="cellIs" dxfId="579" priority="3" operator="greaterThan">
      <formula>$B$12</formula>
    </cfRule>
  </conditionalFormatting>
  <conditionalFormatting sqref="C10">
    <cfRule type="cellIs" dxfId="578" priority="2" operator="greaterThan">
      <formula>$B$12</formula>
    </cfRule>
  </conditionalFormatting>
  <conditionalFormatting sqref="D10">
    <cfRule type="cellIs" dxfId="577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31.554687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3" t="s">
        <v>63</v>
      </c>
      <c r="B3" s="423">
        <v>1</v>
      </c>
      <c r="C3" s="423"/>
      <c r="D3" s="424"/>
      <c r="E3" s="11" t="s">
        <v>138</v>
      </c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163.29931618554522</v>
      </c>
      <c r="C6" s="17">
        <f>(((SQRT(C5)*$B$3)/SQRT(3))*$C$15)/$A6</f>
        <v>258.19888974716116</v>
      </c>
      <c r="D6" s="17">
        <f>(((SQRT(D5)*$B$3)/SQRT(3))*$C$15)/$A6</f>
        <v>326.59863237109045</v>
      </c>
      <c r="F6" s="106" t="str">
        <f>_2015b</f>
        <v>Lechler</v>
      </c>
      <c r="G6" s="106" t="str">
        <f>_2015c</f>
        <v>IDTA 120 025 C</v>
      </c>
      <c r="H6" s="132">
        <f>_2015h</f>
        <v>0</v>
      </c>
      <c r="I6" s="42" t="str">
        <f>IF(H6="","","bis")</f>
        <v>bis</v>
      </c>
      <c r="J6" s="19">
        <f>_2015i</f>
        <v>0</v>
      </c>
      <c r="K6" s="20">
        <f>(((SQRT($H6)*$B$3)/SQRT(3))*60000)/($B$12*$B$15)</f>
        <v>0</v>
      </c>
      <c r="L6" s="42" t="str">
        <f>IF(K6="","","bis")</f>
        <v>bis</v>
      </c>
      <c r="M6" s="18">
        <f>(((SQRT($J6)*$B$3)/SQRT(3))*60000)/($B$12*$B$15)</f>
        <v>0</v>
      </c>
      <c r="N6" s="19">
        <f>_2015j</f>
        <v>0</v>
      </c>
      <c r="O6" s="42" t="str">
        <f>IF(N6="","","bis")</f>
        <v>bis</v>
      </c>
      <c r="P6" s="18">
        <f>_2015k</f>
        <v>0</v>
      </c>
      <c r="Q6" s="20">
        <f>(((SQRT($N6)*$B$3)/SQRT(3))*60000)/($B$12*$B$15)</f>
        <v>0</v>
      </c>
      <c r="R6" s="42" t="str">
        <f>IF(Q6="","","bis")</f>
        <v>bis</v>
      </c>
      <c r="S6" s="18">
        <f>(((SQRT($P6)*$B$3)/SQRT(3))*60000)/($B$12*$B$15)</f>
        <v>0</v>
      </c>
      <c r="T6" s="20">
        <f>_2015l</f>
        <v>1.5</v>
      </c>
      <c r="U6" s="42" t="str">
        <f>IF(T6="","","bis")</f>
        <v>bis</v>
      </c>
      <c r="V6" s="19">
        <f>_2015m</f>
        <v>2</v>
      </c>
      <c r="W6" s="20">
        <f>(((SQRT($T6)*$B$3)/SQRT(3))*60000)/($B$12*$B$15)</f>
        <v>4.2426406871192848</v>
      </c>
      <c r="X6" s="42" t="str">
        <f>IF(W6="","","bis")</f>
        <v>bis</v>
      </c>
      <c r="Y6" s="19">
        <f>(((SQRT($V6)*$B$3)/SQRT(3))*60000)/($B$12*$B$15)</f>
        <v>4.8989794855663567</v>
      </c>
      <c r="Z6" s="133">
        <f>_2015f</f>
        <v>1.5</v>
      </c>
      <c r="AA6" s="42" t="str">
        <f>IF(Z6="","","bis")</f>
        <v>bis</v>
      </c>
      <c r="AB6" s="134">
        <f>_2015g</f>
        <v>8</v>
      </c>
    </row>
    <row r="7" spans="1:28" ht="18" thickBot="1" x14ac:dyDescent="0.35">
      <c r="A7" s="21">
        <v>7</v>
      </c>
      <c r="B7" s="17">
        <f>(((SQRT(B5)*$B$3)/SQRT(3))*$C$15)/$A7</f>
        <v>139.97084244475306</v>
      </c>
      <c r="C7" s="17">
        <f>(((SQRT(C5)*$B$3)/SQRT(3))*$C$15)/$A7</f>
        <v>221.31333406899529</v>
      </c>
      <c r="D7" s="17">
        <f>(((SQRT(D5)*$B$3)/SQRT(3))*$C$15)/$A7</f>
        <v>279.94168488950612</v>
      </c>
      <c r="F7" s="106" t="str">
        <f>_2217b</f>
        <v>Lechler</v>
      </c>
      <c r="G7" s="106" t="str">
        <f>_2217c</f>
        <v>PSAULDCQ20025</v>
      </c>
      <c r="H7" s="132">
        <f>_2217h</f>
        <v>0</v>
      </c>
      <c r="I7" s="42" t="str">
        <f>IF(H7="","","bis")</f>
        <v>bis</v>
      </c>
      <c r="J7" s="18">
        <f>_2217i</f>
        <v>0</v>
      </c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>
        <f>_2217j</f>
        <v>0</v>
      </c>
      <c r="O7" s="42" t="str">
        <f>IF(N7="","","bis")</f>
        <v>bis</v>
      </c>
      <c r="P7" s="18">
        <f>_2217k</f>
        <v>0</v>
      </c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>
        <f>_2217k</f>
        <v>0</v>
      </c>
      <c r="U7" s="42" t="str">
        <f>IF(T7="","","bis")</f>
        <v>bis</v>
      </c>
      <c r="V7" s="18">
        <f>_2217k</f>
        <v>0</v>
      </c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>
        <f>_2217f</f>
        <v>1.5</v>
      </c>
      <c r="AA7" s="42" t="str">
        <f>IF(Z7="","","bis")</f>
        <v>bis</v>
      </c>
      <c r="AB7" s="134">
        <f>_2217g</f>
        <v>8</v>
      </c>
    </row>
    <row r="8" spans="1:28" ht="18" thickBot="1" x14ac:dyDescent="0.35">
      <c r="A8" s="21">
        <v>8</v>
      </c>
      <c r="B8" s="17">
        <f>(((SQRT(B5)*$B$3)/SQRT(3))*$C$15)/$A8</f>
        <v>122.47448713915892</v>
      </c>
      <c r="C8" s="17">
        <f>(((SQRT(C5)*$B$3)/SQRT(3))*1200)/$A8</f>
        <v>193.64916731037087</v>
      </c>
      <c r="D8" s="17">
        <f>(((SQRT(D5)*$B$3)/SQRT(3))*1200)/$A8</f>
        <v>244.94897427831785</v>
      </c>
      <c r="F8" s="106" t="str">
        <f>_2048b</f>
        <v>TeeJet</v>
      </c>
      <c r="G8" s="106" t="str">
        <f>_2048c</f>
        <v>TTI60-110 025 VP-C</v>
      </c>
      <c r="H8" s="132">
        <f>_2048h</f>
        <v>1.5</v>
      </c>
      <c r="I8" s="42" t="str">
        <f>IF(H8="","","bis")</f>
        <v>bis</v>
      </c>
      <c r="J8" s="18">
        <f>_2048i</f>
        <v>5</v>
      </c>
      <c r="K8" s="20">
        <f>(((SQRT($H8)*$B$3)/SQRT(3))*60000)/($B$12*$B$15)</f>
        <v>4.2426406871192848</v>
      </c>
      <c r="L8" s="42" t="str">
        <f>IF(K8="","","bis")</f>
        <v>bis</v>
      </c>
      <c r="M8" s="18">
        <f>(((SQRT($J8)*$B$3)/SQRT(3))*60000)/($B$12*$B$15)</f>
        <v>7.7459666924148349</v>
      </c>
      <c r="N8" s="20">
        <f>_2048j</f>
        <v>1.5</v>
      </c>
      <c r="O8" s="42" t="str">
        <f>IF(N8="","","bis")</f>
        <v>bis</v>
      </c>
      <c r="P8" s="18">
        <f>_2048k</f>
        <v>3</v>
      </c>
      <c r="Q8" s="20">
        <f>(((SQRT($N8)*$B$3)/SQRT(3))*60000)/($B$12*$B$15)</f>
        <v>4.2426406871192848</v>
      </c>
      <c r="R8" s="42" t="str">
        <f>IF(Q8="","","bis")</f>
        <v>bis</v>
      </c>
      <c r="S8" s="18">
        <f>(((SQRT($P8)*$B$3)/SQRT(3))*60000)/($B$12*$B$15)</f>
        <v>6</v>
      </c>
      <c r="T8" s="20">
        <f>_2048l</f>
        <v>1.5</v>
      </c>
      <c r="U8" s="42" t="str">
        <f>IF(T8="","","bis")</f>
        <v>bis</v>
      </c>
      <c r="V8" s="18">
        <f>_2048m</f>
        <v>1.5</v>
      </c>
      <c r="W8" s="20">
        <f>(((SQRT($T8)*$B$3)/SQRT(3))*60000)/($B$12*$B$15)</f>
        <v>4.2426406871192848</v>
      </c>
      <c r="X8" s="42" t="str">
        <f>IF(W8="","","bis")</f>
        <v>bis</v>
      </c>
      <c r="Y8" s="18">
        <f>(((SQRT($V8)*$B$3)/SQRT(3))*60000)/($B$12*$B$15)</f>
        <v>4.2426406871192848</v>
      </c>
      <c r="Z8" s="133">
        <f>_2048f</f>
        <v>1.5</v>
      </c>
      <c r="AA8" s="42" t="str">
        <f>IF(Z8="","","bis")</f>
        <v>bis</v>
      </c>
      <c r="AB8" s="134">
        <f>_2048g</f>
        <v>7</v>
      </c>
    </row>
    <row r="9" spans="1:28" ht="18" thickBot="1" x14ac:dyDescent="0.35">
      <c r="A9" s="21">
        <v>9</v>
      </c>
      <c r="B9" s="17">
        <f>(((SQRT(B5)*$B$3)/SQRT(3))*$C$15)/$A9</f>
        <v>108.86621079036348</v>
      </c>
      <c r="C9" s="17">
        <f>(((SQRT(C5)*$B$3)/SQRT(3))*$C$15)/$A9</f>
        <v>172.13259316477411</v>
      </c>
      <c r="D9" s="17">
        <f>(((SQRT(D5)*$B$3)/SQRT(3))*$C$15)/$A9</f>
        <v>217.73242158072696</v>
      </c>
      <c r="F9" s="106" t="str">
        <f>_1896b</f>
        <v>Agrotop</v>
      </c>
      <c r="G9" s="106" t="str">
        <f>_1896c</f>
        <v>TurboDrop HiSpeed 025</v>
      </c>
      <c r="H9" s="132">
        <f>_1896h</f>
        <v>2.5</v>
      </c>
      <c r="I9" s="42" t="str">
        <f>IF(H9="","","bis")</f>
        <v>bis</v>
      </c>
      <c r="J9" s="18">
        <f>_1896i</f>
        <v>6</v>
      </c>
      <c r="K9" s="20">
        <f>(((SQRT($H9)*$B$3)/SQRT(3))*60000)/($B$12*$B$15)</f>
        <v>5.4772255750516621</v>
      </c>
      <c r="L9" s="42" t="str">
        <f>IF(K9="","","bis")</f>
        <v>bis</v>
      </c>
      <c r="M9" s="18">
        <f>(((SQRT($J9)*$B$3)/SQRT(3))*60000)/($B$12*$B$15)</f>
        <v>8.4852813742385695</v>
      </c>
      <c r="N9" s="20">
        <f>_1896j</f>
        <v>2.5</v>
      </c>
      <c r="O9" s="42" t="str">
        <f>IF(N9="","","bis")</f>
        <v>bis</v>
      </c>
      <c r="P9" s="18">
        <f>_1896k</f>
        <v>3.5</v>
      </c>
      <c r="Q9" s="20">
        <f>(((SQRT($N9)*$B$3)/SQRT(3))*60000)/($B$12*$B$15)</f>
        <v>5.4772255750516621</v>
      </c>
      <c r="R9" s="42" t="str">
        <f>IF(Q9="","","bis")</f>
        <v>bis</v>
      </c>
      <c r="S9" s="18">
        <f>(((SQRT($P9)*$B$3)/SQRT(3))*60000)/($B$12*$B$15)</f>
        <v>6.4807406984078613</v>
      </c>
      <c r="T9" s="20">
        <f>_1896l</f>
        <v>2.5</v>
      </c>
      <c r="U9" s="42" t="str">
        <f>IF(T9="","","bis")</f>
        <v>bis</v>
      </c>
      <c r="V9" s="19">
        <f>_1896m</f>
        <v>2.5</v>
      </c>
      <c r="W9" s="20">
        <f>(((SQRT($T9)*$B$3)/SQRT(3))*60000)/($B$12*$B$15)</f>
        <v>5.4772255750516621</v>
      </c>
      <c r="X9" s="42" t="str">
        <f>IF(W9="","","bis")</f>
        <v>bis</v>
      </c>
      <c r="Y9" s="18">
        <f>(((SQRT($V9)*$B$3)/SQRT(3))*60000)/($B$12*$B$15)</f>
        <v>5.4772255750516621</v>
      </c>
      <c r="Z9" s="133">
        <f>_1896f</f>
        <v>2.5</v>
      </c>
      <c r="AA9" s="42" t="str">
        <f>IF(Z9="","","bis")</f>
        <v>bis</v>
      </c>
      <c r="AB9" s="134">
        <f>_1896g</f>
        <v>8</v>
      </c>
    </row>
    <row r="10" spans="1:28" ht="18" thickBot="1" x14ac:dyDescent="0.35">
      <c r="A10" s="22">
        <v>10</v>
      </c>
      <c r="B10" s="27">
        <f>(((SQRT(B5)*$B$3)/SQRT(3))*$C$15)/$A10</f>
        <v>97.979589711327137</v>
      </c>
      <c r="C10" s="27">
        <f>(((SQRT(C5)*$B$3)/SQRT(3))*$C$15)/$A10</f>
        <v>154.9193338482967</v>
      </c>
      <c r="D10" s="27">
        <f>(((SQRT(D5)*$B$3)/SQRT(3))*$C$15)/$A10</f>
        <v>195.95917942265427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5.333333333333333</v>
      </c>
      <c r="C13" s="26">
        <f>(B12*B14*B15)/60000</f>
        <v>1.3333333333333333</v>
      </c>
      <c r="D13" s="25">
        <f>POWER(((SQRT(3)*$E$13)/$B$3),2)</f>
        <v>24.083333333333332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8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ydGanBRd30OZ/lUHr0PbRdIfWzcOgSl2h7+8QXUumryyHOcrZKuDEEi7Pr4AJ2AhtDFQZBfF2t9q9jCZrLi2Ag==" saltValue="96N/bsUIgp8OjFT2JX03jA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6">
    <cfRule type="cellIs" dxfId="576" priority="15" operator="greaterThan">
      <formula>$B$12</formula>
    </cfRule>
  </conditionalFormatting>
  <conditionalFormatting sqref="C6">
    <cfRule type="cellIs" dxfId="575" priority="14" operator="greaterThan">
      <formula>$B$12</formula>
    </cfRule>
  </conditionalFormatting>
  <conditionalFormatting sqref="D6">
    <cfRule type="cellIs" dxfId="574" priority="13" operator="greaterThan">
      <formula>$B$12</formula>
    </cfRule>
  </conditionalFormatting>
  <conditionalFormatting sqref="B7">
    <cfRule type="cellIs" dxfId="573" priority="12" operator="greaterThan">
      <formula>$B$12</formula>
    </cfRule>
  </conditionalFormatting>
  <conditionalFormatting sqref="C7">
    <cfRule type="cellIs" dxfId="572" priority="11" operator="greaterThan">
      <formula>$B$12</formula>
    </cfRule>
  </conditionalFormatting>
  <conditionalFormatting sqref="D7">
    <cfRule type="cellIs" dxfId="571" priority="10" operator="greaterThan">
      <formula>$B$12</formula>
    </cfRule>
  </conditionalFormatting>
  <conditionalFormatting sqref="B8">
    <cfRule type="cellIs" dxfId="570" priority="9" operator="greaterThan">
      <formula>$B$12</formula>
    </cfRule>
  </conditionalFormatting>
  <conditionalFormatting sqref="B9">
    <cfRule type="cellIs" dxfId="569" priority="8" operator="greaterThan">
      <formula>$B$12</formula>
    </cfRule>
  </conditionalFormatting>
  <conditionalFormatting sqref="B10">
    <cfRule type="cellIs" dxfId="568" priority="7" operator="greaterThan">
      <formula>$B$12</formula>
    </cfRule>
  </conditionalFormatting>
  <conditionalFormatting sqref="C8">
    <cfRule type="cellIs" dxfId="567" priority="6" operator="greaterThan">
      <formula>$B$12</formula>
    </cfRule>
  </conditionalFormatting>
  <conditionalFormatting sqref="D8">
    <cfRule type="cellIs" dxfId="566" priority="5" operator="greaterThan">
      <formula>$B$12</formula>
    </cfRule>
  </conditionalFormatting>
  <conditionalFormatting sqref="C9">
    <cfRule type="cellIs" dxfId="565" priority="4" operator="greaterThan">
      <formula>$B$12</formula>
    </cfRule>
  </conditionalFormatting>
  <conditionalFormatting sqref="D9">
    <cfRule type="cellIs" dxfId="564" priority="3" operator="greaterThan">
      <formula>$B$12</formula>
    </cfRule>
  </conditionalFormatting>
  <conditionalFormatting sqref="C10">
    <cfRule type="cellIs" dxfId="563" priority="2" operator="greaterThan">
      <formula>$B$12</formula>
    </cfRule>
  </conditionalFormatting>
  <conditionalFormatting sqref="D10">
    <cfRule type="cellIs" dxfId="562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25"/>
  <sheetViews>
    <sheetView zoomScale="80" zoomScaleNormal="80" workbookViewId="0">
      <pane ySplit="1" topLeftCell="A116" activePane="bottomLeft" state="frozen"/>
      <selection pane="bottomLeft" activeCell="L132" sqref="L132"/>
    </sheetView>
  </sheetViews>
  <sheetFormatPr baseColWidth="10" defaultColWidth="11.44140625" defaultRowHeight="17.399999999999999" x14ac:dyDescent="0.3"/>
  <cols>
    <col min="1" max="1" width="11.44140625" style="38"/>
    <col min="2" max="2" width="17.5546875" style="38" bestFit="1" customWidth="1"/>
    <col min="3" max="3" width="40.33203125" style="38" customWidth="1"/>
    <col min="4" max="5" width="14.88671875" style="38" customWidth="1"/>
    <col min="6" max="13" width="11.44140625" style="38" customWidth="1"/>
    <col min="14" max="15" width="11.44140625" style="38"/>
    <col min="16" max="16" width="15.6640625" style="38" customWidth="1"/>
    <col min="17" max="18" width="11.44140625" style="38"/>
    <col min="19" max="19" width="15.88671875" style="38" bestFit="1" customWidth="1"/>
    <col min="20" max="20" width="30" style="38" bestFit="1" customWidth="1"/>
    <col min="21" max="21" width="24.6640625" style="38" bestFit="1" customWidth="1"/>
    <col min="22" max="16384" width="11.44140625" style="38"/>
  </cols>
  <sheetData>
    <row r="1" spans="1:21" s="40" customFormat="1" ht="35.4" thickBot="1" x14ac:dyDescent="0.35">
      <c r="A1" s="41" t="s">
        <v>72</v>
      </c>
      <c r="B1" s="41" t="s">
        <v>13</v>
      </c>
      <c r="C1" s="41" t="s">
        <v>12</v>
      </c>
      <c r="D1" s="41" t="s">
        <v>70</v>
      </c>
      <c r="E1" s="41" t="s">
        <v>73</v>
      </c>
      <c r="F1" s="41" t="s">
        <v>68</v>
      </c>
      <c r="G1" s="41" t="s">
        <v>54</v>
      </c>
      <c r="H1" s="381">
        <v>50</v>
      </c>
      <c r="I1" s="382">
        <v>50</v>
      </c>
      <c r="J1" s="383">
        <v>75</v>
      </c>
      <c r="K1" s="383">
        <v>75</v>
      </c>
      <c r="L1" s="384">
        <v>90</v>
      </c>
      <c r="M1" s="385">
        <v>90</v>
      </c>
      <c r="N1" s="386">
        <v>95</v>
      </c>
      <c r="O1" s="387"/>
      <c r="P1" s="41" t="s">
        <v>71</v>
      </c>
      <c r="S1" s="40">
        <f ca="1">YEAR(TODAY())</f>
        <v>2023</v>
      </c>
      <c r="T1" s="40" t="s">
        <v>238</v>
      </c>
      <c r="U1" s="40" t="s">
        <v>237</v>
      </c>
    </row>
    <row r="2" spans="1:21" x14ac:dyDescent="0.3">
      <c r="A2" s="38">
        <v>1613</v>
      </c>
      <c r="B2" s="38" t="s">
        <v>15</v>
      </c>
      <c r="C2" s="38" t="s">
        <v>221</v>
      </c>
      <c r="D2" s="40">
        <v>50</v>
      </c>
      <c r="E2" s="40" t="s">
        <v>75</v>
      </c>
      <c r="F2" s="39">
        <v>2</v>
      </c>
      <c r="G2" s="39">
        <v>8</v>
      </c>
      <c r="H2" s="39">
        <v>2</v>
      </c>
      <c r="I2" s="39">
        <v>5</v>
      </c>
      <c r="J2" s="39">
        <v>2</v>
      </c>
      <c r="K2" s="39">
        <v>3</v>
      </c>
      <c r="L2" s="39">
        <v>2</v>
      </c>
      <c r="M2" s="39">
        <v>2.5</v>
      </c>
      <c r="N2" s="39">
        <v>0</v>
      </c>
      <c r="O2" s="39">
        <v>0</v>
      </c>
      <c r="P2" s="38">
        <v>2024</v>
      </c>
      <c r="Q2" s="38" t="s">
        <v>79</v>
      </c>
      <c r="R2" s="38" t="s">
        <v>81</v>
      </c>
      <c r="S2" s="38" t="s">
        <v>103</v>
      </c>
    </row>
    <row r="3" spans="1:21" x14ac:dyDescent="0.3">
      <c r="A3" s="38">
        <v>1638</v>
      </c>
      <c r="B3" s="38" t="s">
        <v>17</v>
      </c>
      <c r="C3" s="38" t="s">
        <v>76</v>
      </c>
      <c r="D3" s="40">
        <v>50</v>
      </c>
      <c r="E3" s="40" t="s">
        <v>75</v>
      </c>
      <c r="F3" s="39">
        <v>1</v>
      </c>
      <c r="G3" s="39">
        <v>6</v>
      </c>
      <c r="H3" s="39">
        <v>1</v>
      </c>
      <c r="I3" s="39">
        <v>6</v>
      </c>
      <c r="J3" s="39">
        <v>1</v>
      </c>
      <c r="K3" s="39">
        <v>1.5</v>
      </c>
      <c r="L3" s="39">
        <v>1</v>
      </c>
      <c r="M3" s="39">
        <v>1</v>
      </c>
      <c r="N3" s="39">
        <v>0</v>
      </c>
      <c r="O3" s="39">
        <v>0</v>
      </c>
      <c r="P3" s="38">
        <v>2024</v>
      </c>
      <c r="Q3" s="38" t="s">
        <v>78</v>
      </c>
      <c r="R3" s="38" t="s">
        <v>81</v>
      </c>
      <c r="S3" s="38" t="s">
        <v>103</v>
      </c>
    </row>
    <row r="4" spans="1:21" x14ac:dyDescent="0.3">
      <c r="A4" s="38">
        <v>1996</v>
      </c>
      <c r="B4" s="38" t="s">
        <v>17</v>
      </c>
      <c r="C4" s="38" t="s">
        <v>211</v>
      </c>
      <c r="D4" s="40">
        <v>50</v>
      </c>
      <c r="E4" s="40">
        <v>50</v>
      </c>
      <c r="F4" s="39">
        <v>1.5</v>
      </c>
      <c r="G4" s="39">
        <v>8</v>
      </c>
      <c r="H4" s="39">
        <v>2.5</v>
      </c>
      <c r="I4" s="39">
        <v>6</v>
      </c>
      <c r="J4" s="39">
        <v>2.5</v>
      </c>
      <c r="K4" s="39">
        <v>3.5</v>
      </c>
      <c r="L4" s="39">
        <v>2.5</v>
      </c>
      <c r="M4" s="39">
        <v>2.5</v>
      </c>
      <c r="N4" s="39">
        <v>0</v>
      </c>
      <c r="O4" s="39">
        <v>0</v>
      </c>
      <c r="P4" s="38">
        <v>2026</v>
      </c>
      <c r="Q4" s="38" t="s">
        <v>78</v>
      </c>
      <c r="R4" s="38" t="s">
        <v>81</v>
      </c>
      <c r="S4" s="38" t="s">
        <v>198</v>
      </c>
      <c r="T4" s="38" t="s">
        <v>108</v>
      </c>
    </row>
    <row r="5" spans="1:21" x14ac:dyDescent="0.3">
      <c r="A5" s="38">
        <v>1891</v>
      </c>
      <c r="B5" s="38" t="s">
        <v>17</v>
      </c>
      <c r="C5" s="38" t="s">
        <v>207</v>
      </c>
      <c r="D5" s="40">
        <v>50</v>
      </c>
      <c r="E5" s="40">
        <v>50</v>
      </c>
      <c r="F5" s="39">
        <v>1.5</v>
      </c>
      <c r="G5" s="39">
        <v>6</v>
      </c>
      <c r="H5" s="39">
        <v>1.5</v>
      </c>
      <c r="I5" s="39">
        <v>6</v>
      </c>
      <c r="J5" s="39">
        <v>1.5</v>
      </c>
      <c r="K5" s="39">
        <v>2</v>
      </c>
      <c r="L5" s="39">
        <v>1.5</v>
      </c>
      <c r="M5" s="39">
        <v>1.5</v>
      </c>
      <c r="N5" s="39">
        <v>0</v>
      </c>
      <c r="O5" s="39">
        <v>0</v>
      </c>
      <c r="P5" s="38">
        <v>2026</v>
      </c>
      <c r="Q5" s="38" t="s">
        <v>78</v>
      </c>
      <c r="R5" s="38" t="s">
        <v>81</v>
      </c>
      <c r="S5" s="38" t="s">
        <v>198</v>
      </c>
      <c r="T5" s="38" t="s">
        <v>112</v>
      </c>
    </row>
    <row r="6" spans="1:21" x14ac:dyDescent="0.3">
      <c r="A6" s="38">
        <v>1892</v>
      </c>
      <c r="B6" s="38" t="s">
        <v>17</v>
      </c>
      <c r="C6" s="38" t="s">
        <v>208</v>
      </c>
      <c r="D6" s="40">
        <v>50</v>
      </c>
      <c r="E6" s="40">
        <v>50</v>
      </c>
      <c r="F6" s="39">
        <v>2</v>
      </c>
      <c r="G6" s="39">
        <v>8</v>
      </c>
      <c r="H6" s="39">
        <v>2</v>
      </c>
      <c r="I6" s="39">
        <v>6</v>
      </c>
      <c r="J6" s="39">
        <v>2</v>
      </c>
      <c r="K6" s="39">
        <v>3</v>
      </c>
      <c r="L6" s="39">
        <v>2</v>
      </c>
      <c r="M6" s="39">
        <v>2</v>
      </c>
      <c r="N6" s="39">
        <v>0</v>
      </c>
      <c r="O6" s="39">
        <v>0</v>
      </c>
      <c r="P6" s="38">
        <v>2026</v>
      </c>
      <c r="Q6" s="38" t="s">
        <v>79</v>
      </c>
      <c r="R6" s="38" t="s">
        <v>81</v>
      </c>
      <c r="S6" s="38" t="s">
        <v>198</v>
      </c>
      <c r="T6" s="38" t="s">
        <v>99</v>
      </c>
    </row>
    <row r="7" spans="1:21" x14ac:dyDescent="0.3">
      <c r="A7" s="38">
        <v>1892</v>
      </c>
      <c r="B7" s="38" t="s">
        <v>17</v>
      </c>
      <c r="C7" s="38" t="s">
        <v>208</v>
      </c>
      <c r="D7" s="40">
        <v>50</v>
      </c>
      <c r="E7" s="40">
        <v>50</v>
      </c>
      <c r="F7" s="39">
        <v>1.5</v>
      </c>
      <c r="G7" s="39">
        <v>6</v>
      </c>
      <c r="H7" s="39">
        <v>1.5</v>
      </c>
      <c r="I7" s="39">
        <v>6</v>
      </c>
      <c r="J7" s="39">
        <v>1.5</v>
      </c>
      <c r="K7" s="39">
        <v>6</v>
      </c>
      <c r="L7" s="39">
        <v>1.5</v>
      </c>
      <c r="M7" s="39">
        <v>1.5</v>
      </c>
      <c r="N7" s="39">
        <v>0</v>
      </c>
      <c r="O7" s="39">
        <v>0</v>
      </c>
      <c r="P7" s="38">
        <v>2026</v>
      </c>
      <c r="Q7" s="38" t="s">
        <v>78</v>
      </c>
      <c r="R7" s="38" t="s">
        <v>81</v>
      </c>
      <c r="S7" s="38" t="s">
        <v>198</v>
      </c>
      <c r="T7" s="38" t="s">
        <v>113</v>
      </c>
    </row>
    <row r="8" spans="1:21" x14ac:dyDescent="0.3">
      <c r="A8" s="38">
        <v>1892</v>
      </c>
      <c r="B8" s="38" t="s">
        <v>17</v>
      </c>
      <c r="C8" s="38" t="s">
        <v>208</v>
      </c>
      <c r="D8" s="40">
        <v>50</v>
      </c>
      <c r="E8" s="40">
        <v>50</v>
      </c>
      <c r="F8" s="39">
        <v>2</v>
      </c>
      <c r="G8" s="39">
        <v>6</v>
      </c>
      <c r="H8" s="39">
        <v>2</v>
      </c>
      <c r="I8" s="39">
        <v>6</v>
      </c>
      <c r="J8" s="39">
        <v>2</v>
      </c>
      <c r="K8" s="39">
        <v>3</v>
      </c>
      <c r="L8" s="39">
        <v>2</v>
      </c>
      <c r="M8" s="39">
        <v>2</v>
      </c>
      <c r="N8" s="39">
        <v>0</v>
      </c>
      <c r="O8" s="39">
        <v>0</v>
      </c>
      <c r="P8" s="38">
        <v>2026</v>
      </c>
      <c r="Q8" s="38" t="s">
        <v>78</v>
      </c>
      <c r="R8" s="38" t="s">
        <v>81</v>
      </c>
      <c r="S8" s="38" t="s">
        <v>198</v>
      </c>
      <c r="T8" s="38" t="s">
        <v>142</v>
      </c>
    </row>
    <row r="9" spans="1:21" x14ac:dyDescent="0.3">
      <c r="A9" s="38">
        <v>1893</v>
      </c>
      <c r="B9" s="38" t="s">
        <v>17</v>
      </c>
      <c r="C9" s="38" t="s">
        <v>209</v>
      </c>
      <c r="D9" s="40">
        <v>50</v>
      </c>
      <c r="E9" s="40">
        <v>50</v>
      </c>
      <c r="F9" s="39">
        <v>1</v>
      </c>
      <c r="G9" s="39">
        <v>6</v>
      </c>
      <c r="H9" s="39">
        <v>1</v>
      </c>
      <c r="I9" s="39">
        <v>6</v>
      </c>
      <c r="J9" s="39">
        <v>1</v>
      </c>
      <c r="K9" s="39">
        <v>1.5</v>
      </c>
      <c r="L9" s="39">
        <v>1</v>
      </c>
      <c r="M9" s="39">
        <v>1</v>
      </c>
      <c r="N9" s="39">
        <v>0</v>
      </c>
      <c r="O9" s="39">
        <v>0</v>
      </c>
      <c r="P9" s="38">
        <v>2026</v>
      </c>
      <c r="Q9" s="38" t="s">
        <v>78</v>
      </c>
      <c r="R9" s="38" t="s">
        <v>81</v>
      </c>
      <c r="S9" s="38" t="s">
        <v>198</v>
      </c>
      <c r="T9" s="38" t="s">
        <v>76</v>
      </c>
    </row>
    <row r="10" spans="1:21" x14ac:dyDescent="0.3">
      <c r="A10" s="38">
        <v>1893</v>
      </c>
      <c r="B10" s="38" t="s">
        <v>17</v>
      </c>
      <c r="C10" s="38" t="s">
        <v>209</v>
      </c>
      <c r="D10" s="40">
        <v>50</v>
      </c>
      <c r="E10" s="40">
        <v>50</v>
      </c>
      <c r="F10" s="39">
        <v>2</v>
      </c>
      <c r="G10" s="39">
        <v>6</v>
      </c>
      <c r="H10" s="39">
        <v>2</v>
      </c>
      <c r="I10" s="39">
        <v>6</v>
      </c>
      <c r="J10" s="39">
        <v>2</v>
      </c>
      <c r="K10" s="39">
        <v>5</v>
      </c>
      <c r="L10" s="39">
        <v>2</v>
      </c>
      <c r="M10" s="39">
        <v>2.5</v>
      </c>
      <c r="N10" s="39">
        <v>0</v>
      </c>
      <c r="O10" s="39">
        <v>0</v>
      </c>
      <c r="P10" s="38">
        <v>2026</v>
      </c>
      <c r="Q10" s="38" t="s">
        <v>78</v>
      </c>
      <c r="R10" s="38" t="s">
        <v>81</v>
      </c>
      <c r="S10" s="38" t="s">
        <v>198</v>
      </c>
      <c r="T10" s="38" t="s">
        <v>143</v>
      </c>
    </row>
    <row r="11" spans="1:21" x14ac:dyDescent="0.3">
      <c r="A11" s="38">
        <v>1848</v>
      </c>
      <c r="B11" s="38" t="s">
        <v>15</v>
      </c>
      <c r="C11" s="38" t="s">
        <v>104</v>
      </c>
      <c r="D11" s="40">
        <v>50</v>
      </c>
      <c r="E11" s="40">
        <v>50</v>
      </c>
      <c r="F11" s="39">
        <v>1.5</v>
      </c>
      <c r="G11" s="39">
        <v>8</v>
      </c>
      <c r="H11" s="39">
        <v>1.5</v>
      </c>
      <c r="I11" s="39">
        <v>4</v>
      </c>
      <c r="J11" s="39">
        <v>1.5</v>
      </c>
      <c r="K11" s="39">
        <v>2</v>
      </c>
      <c r="L11" s="39">
        <v>1.5</v>
      </c>
      <c r="M11" s="39">
        <v>1.5</v>
      </c>
      <c r="N11" s="39">
        <v>0</v>
      </c>
      <c r="O11" s="39">
        <v>0</v>
      </c>
      <c r="P11" s="38">
        <v>2027</v>
      </c>
      <c r="Q11" s="38" t="s">
        <v>79</v>
      </c>
      <c r="R11" s="38" t="s">
        <v>81</v>
      </c>
      <c r="S11" s="38" t="s">
        <v>102</v>
      </c>
    </row>
    <row r="12" spans="1:21" x14ac:dyDescent="0.3">
      <c r="A12" s="38">
        <v>2161</v>
      </c>
      <c r="B12" s="38" t="s">
        <v>15</v>
      </c>
      <c r="C12" s="38" t="s">
        <v>146</v>
      </c>
      <c r="D12" s="40">
        <v>50</v>
      </c>
      <c r="E12" s="40">
        <v>50</v>
      </c>
      <c r="F12" s="39">
        <v>1.5</v>
      </c>
      <c r="G12" s="39">
        <v>8</v>
      </c>
      <c r="H12" s="39">
        <v>1.5</v>
      </c>
      <c r="I12" s="39">
        <v>8</v>
      </c>
      <c r="J12" s="39">
        <v>1.5</v>
      </c>
      <c r="K12" s="39">
        <v>8</v>
      </c>
      <c r="L12" s="39">
        <v>1.5</v>
      </c>
      <c r="M12" s="39">
        <v>3</v>
      </c>
      <c r="N12" s="39">
        <v>0</v>
      </c>
      <c r="O12" s="39">
        <v>0</v>
      </c>
      <c r="P12" s="38">
        <v>2025</v>
      </c>
      <c r="Q12" s="38" t="s">
        <v>79</v>
      </c>
      <c r="R12" s="38" t="s">
        <v>81</v>
      </c>
      <c r="S12" s="38" t="s">
        <v>102</v>
      </c>
    </row>
    <row r="13" spans="1:21" x14ac:dyDescent="0.3">
      <c r="A13" s="38">
        <v>2200</v>
      </c>
      <c r="B13" s="38" t="s">
        <v>15</v>
      </c>
      <c r="C13" s="38" t="s">
        <v>219</v>
      </c>
      <c r="D13" s="40">
        <v>50</v>
      </c>
      <c r="E13" s="40">
        <v>50</v>
      </c>
      <c r="F13" s="39">
        <v>1.5</v>
      </c>
      <c r="G13" s="39">
        <v>8</v>
      </c>
      <c r="H13" s="39">
        <v>1.5</v>
      </c>
      <c r="I13" s="39">
        <v>5</v>
      </c>
      <c r="J13" s="39">
        <v>1.5</v>
      </c>
      <c r="K13" s="39">
        <v>2.5</v>
      </c>
      <c r="L13" s="39">
        <v>1.5</v>
      </c>
      <c r="M13" s="39">
        <v>1.5</v>
      </c>
      <c r="N13" s="39">
        <v>0</v>
      </c>
      <c r="O13" s="39">
        <v>0</v>
      </c>
      <c r="P13" s="38">
        <v>2026</v>
      </c>
      <c r="Q13" s="38" t="s">
        <v>79</v>
      </c>
      <c r="R13" s="38" t="s">
        <v>81</v>
      </c>
      <c r="S13" s="38" t="s">
        <v>102</v>
      </c>
    </row>
    <row r="14" spans="1:21" x14ac:dyDescent="0.3">
      <c r="A14" s="38">
        <v>1758</v>
      </c>
      <c r="B14" s="38" t="s">
        <v>15</v>
      </c>
      <c r="C14" s="38" t="s">
        <v>203</v>
      </c>
      <c r="D14" s="40">
        <v>50</v>
      </c>
      <c r="E14" s="40" t="s">
        <v>75</v>
      </c>
      <c r="F14" s="39">
        <v>2</v>
      </c>
      <c r="G14" s="39">
        <v>8</v>
      </c>
      <c r="H14" s="39">
        <v>2</v>
      </c>
      <c r="I14" s="39">
        <v>5</v>
      </c>
      <c r="J14" s="39">
        <v>2</v>
      </c>
      <c r="K14" s="39">
        <v>3</v>
      </c>
      <c r="L14" s="39">
        <v>2</v>
      </c>
      <c r="M14" s="39">
        <v>2.5</v>
      </c>
      <c r="N14" s="39">
        <v>0</v>
      </c>
      <c r="O14" s="39">
        <v>0</v>
      </c>
      <c r="P14" s="38">
        <v>2023</v>
      </c>
      <c r="Q14" s="38" t="s">
        <v>79</v>
      </c>
      <c r="R14" s="38" t="s">
        <v>81</v>
      </c>
      <c r="S14" s="38" t="s">
        <v>198</v>
      </c>
      <c r="T14" s="38" t="s">
        <v>74</v>
      </c>
    </row>
    <row r="15" spans="1:21" x14ac:dyDescent="0.3">
      <c r="A15" s="38">
        <v>1758</v>
      </c>
      <c r="B15" s="38" t="s">
        <v>15</v>
      </c>
      <c r="C15" s="38" t="s">
        <v>203</v>
      </c>
      <c r="D15" s="40">
        <v>50</v>
      </c>
      <c r="E15" s="40" t="s">
        <v>75</v>
      </c>
      <c r="F15" s="39">
        <v>2</v>
      </c>
      <c r="G15" s="39">
        <v>8</v>
      </c>
      <c r="H15" s="39">
        <v>2</v>
      </c>
      <c r="I15" s="39">
        <v>5</v>
      </c>
      <c r="J15" s="39">
        <v>2</v>
      </c>
      <c r="K15" s="39">
        <v>3</v>
      </c>
      <c r="L15" s="39">
        <v>2</v>
      </c>
      <c r="M15" s="39">
        <v>2.5</v>
      </c>
      <c r="N15" s="39">
        <v>0</v>
      </c>
      <c r="O15" s="39">
        <v>0</v>
      </c>
      <c r="P15" s="38">
        <v>2023</v>
      </c>
      <c r="Q15" s="38" t="s">
        <v>79</v>
      </c>
      <c r="R15" s="38" t="s">
        <v>81</v>
      </c>
      <c r="S15" s="38" t="s">
        <v>198</v>
      </c>
      <c r="T15" s="38" t="s">
        <v>84</v>
      </c>
    </row>
    <row r="16" spans="1:21" x14ac:dyDescent="0.3">
      <c r="A16" s="38">
        <v>1795</v>
      </c>
      <c r="B16" s="38" t="s">
        <v>15</v>
      </c>
      <c r="C16" s="38" t="s">
        <v>20</v>
      </c>
      <c r="D16" s="40">
        <v>50</v>
      </c>
      <c r="E16" s="40" t="s">
        <v>75</v>
      </c>
      <c r="F16" s="39">
        <v>1</v>
      </c>
      <c r="G16" s="39">
        <v>6</v>
      </c>
      <c r="H16" s="39">
        <v>1</v>
      </c>
      <c r="I16" s="39">
        <v>6</v>
      </c>
      <c r="J16" s="39">
        <v>1</v>
      </c>
      <c r="K16" s="39">
        <v>2.5</v>
      </c>
      <c r="L16" s="39">
        <v>1</v>
      </c>
      <c r="M16" s="39">
        <v>1.5</v>
      </c>
      <c r="N16" s="39">
        <v>0</v>
      </c>
      <c r="O16" s="39">
        <v>0</v>
      </c>
      <c r="P16" s="38">
        <v>2025</v>
      </c>
      <c r="Q16" s="38" t="s">
        <v>78</v>
      </c>
      <c r="R16" s="38" t="s">
        <v>81</v>
      </c>
      <c r="S16" s="38" t="s">
        <v>103</v>
      </c>
    </row>
    <row r="17" spans="1:19" x14ac:dyDescent="0.3">
      <c r="A17" s="38">
        <v>2282</v>
      </c>
      <c r="B17" s="38" t="s">
        <v>15</v>
      </c>
      <c r="C17" s="38" t="s">
        <v>46</v>
      </c>
      <c r="D17" s="40">
        <v>50</v>
      </c>
      <c r="E17" s="40">
        <v>50</v>
      </c>
      <c r="F17" s="39">
        <v>2</v>
      </c>
      <c r="G17" s="39">
        <v>7</v>
      </c>
      <c r="H17" s="39">
        <v>2</v>
      </c>
      <c r="I17" s="39">
        <v>5</v>
      </c>
      <c r="J17" s="39">
        <v>2</v>
      </c>
      <c r="K17" s="39">
        <v>4</v>
      </c>
      <c r="L17" s="39">
        <v>2</v>
      </c>
      <c r="M17" s="39">
        <v>3</v>
      </c>
      <c r="N17" s="39">
        <v>0</v>
      </c>
      <c r="O17" s="39">
        <v>0</v>
      </c>
      <c r="P17" s="38">
        <v>2027</v>
      </c>
      <c r="Q17" s="38" t="s">
        <v>197</v>
      </c>
      <c r="R17" s="38" t="s">
        <v>81</v>
      </c>
      <c r="S17" s="38" t="s">
        <v>102</v>
      </c>
    </row>
    <row r="18" spans="1:19" x14ac:dyDescent="0.3">
      <c r="A18" s="38">
        <v>2280</v>
      </c>
      <c r="B18" s="38" t="s">
        <v>15</v>
      </c>
      <c r="C18" s="38" t="s">
        <v>44</v>
      </c>
      <c r="D18" s="40">
        <v>50</v>
      </c>
      <c r="E18" s="40">
        <v>50</v>
      </c>
      <c r="F18" s="39">
        <v>2</v>
      </c>
      <c r="G18" s="39">
        <v>7</v>
      </c>
      <c r="H18" s="39">
        <v>2</v>
      </c>
      <c r="I18" s="39">
        <v>7</v>
      </c>
      <c r="J18" s="39">
        <v>2</v>
      </c>
      <c r="K18" s="39">
        <v>5</v>
      </c>
      <c r="L18" s="39">
        <v>2</v>
      </c>
      <c r="M18" s="39">
        <v>3</v>
      </c>
      <c r="N18" s="39">
        <v>0</v>
      </c>
      <c r="O18" s="39">
        <v>0</v>
      </c>
      <c r="P18" s="38">
        <v>2027</v>
      </c>
      <c r="Q18" s="38" t="s">
        <v>197</v>
      </c>
      <c r="R18" s="38" t="s">
        <v>81</v>
      </c>
      <c r="S18" s="38" t="s">
        <v>102</v>
      </c>
    </row>
    <row r="19" spans="1:19" x14ac:dyDescent="0.3">
      <c r="A19" s="38">
        <v>2281</v>
      </c>
      <c r="B19" s="38" t="s">
        <v>15</v>
      </c>
      <c r="C19" s="38" t="s">
        <v>45</v>
      </c>
      <c r="D19" s="40">
        <v>50</v>
      </c>
      <c r="E19" s="40">
        <v>50</v>
      </c>
      <c r="F19" s="39">
        <v>2</v>
      </c>
      <c r="G19" s="39">
        <v>7</v>
      </c>
      <c r="H19" s="39">
        <v>2</v>
      </c>
      <c r="I19" s="39">
        <v>7</v>
      </c>
      <c r="J19" s="39">
        <v>2</v>
      </c>
      <c r="K19" s="39">
        <v>5</v>
      </c>
      <c r="L19" s="39">
        <v>2</v>
      </c>
      <c r="M19" s="39">
        <v>3</v>
      </c>
      <c r="N19" s="39">
        <v>0</v>
      </c>
      <c r="O19" s="39">
        <v>0</v>
      </c>
      <c r="P19" s="38">
        <v>2027</v>
      </c>
      <c r="Q19" s="38" t="s">
        <v>197</v>
      </c>
      <c r="R19" s="38" t="s">
        <v>81</v>
      </c>
      <c r="S19" s="38" t="s">
        <v>102</v>
      </c>
    </row>
    <row r="20" spans="1:19" x14ac:dyDescent="0.3">
      <c r="A20" s="38">
        <v>2293</v>
      </c>
      <c r="B20" s="38" t="s">
        <v>17</v>
      </c>
      <c r="C20" s="38" t="s">
        <v>49</v>
      </c>
      <c r="D20" s="40">
        <v>50</v>
      </c>
      <c r="E20" s="40">
        <v>50</v>
      </c>
      <c r="F20" s="39">
        <v>3</v>
      </c>
      <c r="G20" s="39">
        <v>7</v>
      </c>
      <c r="H20" s="39">
        <v>3</v>
      </c>
      <c r="I20" s="39">
        <v>5</v>
      </c>
      <c r="J20" s="39">
        <v>3</v>
      </c>
      <c r="K20" s="39">
        <v>4</v>
      </c>
      <c r="L20" s="39">
        <v>3</v>
      </c>
      <c r="M20" s="39">
        <v>3</v>
      </c>
      <c r="N20" s="39">
        <v>0</v>
      </c>
      <c r="O20" s="39">
        <v>0</v>
      </c>
      <c r="P20" s="38">
        <v>2028</v>
      </c>
      <c r="Q20" s="38" t="s">
        <v>79</v>
      </c>
      <c r="R20" s="38" t="s">
        <v>81</v>
      </c>
      <c r="S20" s="38" t="s">
        <v>103</v>
      </c>
    </row>
    <row r="21" spans="1:19" x14ac:dyDescent="0.3">
      <c r="A21" s="38">
        <v>2294</v>
      </c>
      <c r="B21" s="38" t="s">
        <v>17</v>
      </c>
      <c r="C21" s="38" t="s">
        <v>50</v>
      </c>
      <c r="D21" s="40">
        <v>50</v>
      </c>
      <c r="E21" s="40">
        <v>50</v>
      </c>
      <c r="F21" s="39">
        <v>3</v>
      </c>
      <c r="G21" s="39">
        <v>7</v>
      </c>
      <c r="H21" s="39">
        <v>3</v>
      </c>
      <c r="I21" s="39">
        <v>5</v>
      </c>
      <c r="J21" s="39">
        <v>3</v>
      </c>
      <c r="K21" s="39">
        <v>5</v>
      </c>
      <c r="L21" s="39">
        <v>3</v>
      </c>
      <c r="M21" s="39">
        <v>3</v>
      </c>
      <c r="N21" s="39">
        <v>0</v>
      </c>
      <c r="O21" s="39">
        <v>0</v>
      </c>
      <c r="P21" s="38">
        <v>2028</v>
      </c>
      <c r="Q21" s="38" t="s">
        <v>79</v>
      </c>
      <c r="R21" s="38" t="s">
        <v>81</v>
      </c>
      <c r="S21" s="38" t="s">
        <v>103</v>
      </c>
    </row>
    <row r="22" spans="1:19" x14ac:dyDescent="0.3">
      <c r="A22" s="38">
        <v>2295</v>
      </c>
      <c r="B22" s="38" t="s">
        <v>17</v>
      </c>
      <c r="C22" s="38" t="s">
        <v>51</v>
      </c>
      <c r="D22" s="40">
        <v>50</v>
      </c>
      <c r="E22" s="40">
        <v>50</v>
      </c>
      <c r="F22" s="39">
        <v>3</v>
      </c>
      <c r="G22" s="39">
        <v>7</v>
      </c>
      <c r="H22" s="39">
        <v>3</v>
      </c>
      <c r="I22" s="39">
        <v>5</v>
      </c>
      <c r="J22" s="39">
        <v>3</v>
      </c>
      <c r="K22" s="39">
        <v>5</v>
      </c>
      <c r="L22" s="39">
        <v>3</v>
      </c>
      <c r="M22" s="39">
        <v>4</v>
      </c>
      <c r="N22" s="39">
        <v>0</v>
      </c>
      <c r="O22" s="39">
        <v>0</v>
      </c>
      <c r="P22" s="38">
        <v>2028</v>
      </c>
      <c r="Q22" s="38" t="s">
        <v>79</v>
      </c>
      <c r="R22" s="38" t="s">
        <v>81</v>
      </c>
      <c r="S22" s="38" t="s">
        <v>103</v>
      </c>
    </row>
    <row r="23" spans="1:19" x14ac:dyDescent="0.3">
      <c r="A23" s="38">
        <v>1964</v>
      </c>
      <c r="B23" s="38" t="s">
        <v>17</v>
      </c>
      <c r="C23" s="38" t="s">
        <v>69</v>
      </c>
      <c r="D23" s="40">
        <v>25</v>
      </c>
      <c r="E23" s="40">
        <v>40</v>
      </c>
      <c r="F23" s="39">
        <v>3</v>
      </c>
      <c r="G23" s="39">
        <v>8</v>
      </c>
      <c r="H23" s="39">
        <v>3</v>
      </c>
      <c r="I23" s="39">
        <v>8</v>
      </c>
      <c r="J23" s="39">
        <v>3</v>
      </c>
      <c r="K23" s="39">
        <v>8</v>
      </c>
      <c r="L23" s="39">
        <v>3</v>
      </c>
      <c r="M23" s="39">
        <v>8</v>
      </c>
      <c r="N23" s="39">
        <v>0</v>
      </c>
      <c r="O23" s="39">
        <v>0</v>
      </c>
      <c r="P23" s="38">
        <v>2027</v>
      </c>
      <c r="Q23" s="38" t="s">
        <v>78</v>
      </c>
      <c r="R23" s="38" t="s">
        <v>81</v>
      </c>
      <c r="S23" s="38" t="s">
        <v>103</v>
      </c>
    </row>
    <row r="24" spans="1:19" x14ac:dyDescent="0.3">
      <c r="A24" s="38">
        <v>1903</v>
      </c>
      <c r="B24" s="38" t="s">
        <v>17</v>
      </c>
      <c r="C24" s="38" t="s">
        <v>112</v>
      </c>
      <c r="D24" s="40">
        <v>50</v>
      </c>
      <c r="E24" s="40">
        <v>50</v>
      </c>
      <c r="F24" s="39">
        <v>1.5</v>
      </c>
      <c r="G24" s="39">
        <v>6</v>
      </c>
      <c r="H24" s="39">
        <v>1.5</v>
      </c>
      <c r="I24" s="39">
        <v>6</v>
      </c>
      <c r="J24" s="39">
        <v>1.5</v>
      </c>
      <c r="K24" s="39">
        <v>2</v>
      </c>
      <c r="L24" s="39">
        <v>1.5</v>
      </c>
      <c r="M24" s="39">
        <v>1.5</v>
      </c>
      <c r="N24" s="39">
        <v>0</v>
      </c>
      <c r="O24" s="39">
        <v>0</v>
      </c>
      <c r="P24" s="38">
        <v>2023</v>
      </c>
      <c r="Q24" s="38" t="s">
        <v>78</v>
      </c>
      <c r="R24" s="38" t="s">
        <v>81</v>
      </c>
      <c r="S24" s="38" t="s">
        <v>102</v>
      </c>
    </row>
    <row r="25" spans="1:19" x14ac:dyDescent="0.3">
      <c r="A25" s="38">
        <v>1905</v>
      </c>
      <c r="B25" s="38" t="s">
        <v>17</v>
      </c>
      <c r="C25" s="38" t="s">
        <v>113</v>
      </c>
      <c r="D25" s="40">
        <v>50</v>
      </c>
      <c r="E25" s="40">
        <v>50</v>
      </c>
      <c r="F25" s="39">
        <v>1.5</v>
      </c>
      <c r="G25" s="39">
        <v>6</v>
      </c>
      <c r="H25" s="39">
        <v>1.5</v>
      </c>
      <c r="I25" s="39">
        <v>6</v>
      </c>
      <c r="J25" s="39">
        <v>1.5</v>
      </c>
      <c r="K25" s="39">
        <v>6</v>
      </c>
      <c r="L25" s="39">
        <v>1.5</v>
      </c>
      <c r="M25" s="39">
        <v>1.5</v>
      </c>
      <c r="N25" s="39">
        <v>0</v>
      </c>
      <c r="O25" s="39">
        <v>0</v>
      </c>
      <c r="P25" s="38">
        <v>2023</v>
      </c>
      <c r="Q25" s="38" t="s">
        <v>78</v>
      </c>
      <c r="R25" s="38" t="s">
        <v>81</v>
      </c>
      <c r="S25" s="38" t="s">
        <v>102</v>
      </c>
    </row>
    <row r="26" spans="1:19" x14ac:dyDescent="0.3">
      <c r="A26" s="38">
        <v>1435</v>
      </c>
      <c r="B26" s="38" t="s">
        <v>10</v>
      </c>
      <c r="C26" s="38" t="s">
        <v>125</v>
      </c>
      <c r="D26" s="40" t="s">
        <v>80</v>
      </c>
      <c r="E26" s="40"/>
      <c r="F26" s="39">
        <v>1.5</v>
      </c>
      <c r="G26" s="39">
        <v>3</v>
      </c>
      <c r="H26" s="39">
        <v>1.5</v>
      </c>
      <c r="I26" s="39">
        <v>3</v>
      </c>
      <c r="J26" s="39">
        <v>1.5</v>
      </c>
      <c r="K26" s="39">
        <v>3</v>
      </c>
      <c r="L26" s="39">
        <v>1.5</v>
      </c>
      <c r="M26" s="39">
        <v>3</v>
      </c>
      <c r="N26" s="39">
        <v>0</v>
      </c>
      <c r="O26" s="39">
        <v>0</v>
      </c>
      <c r="P26" s="38">
        <v>2023</v>
      </c>
      <c r="Q26" s="38" t="s">
        <v>197</v>
      </c>
      <c r="R26" s="38" t="s">
        <v>80</v>
      </c>
      <c r="S26" s="38" t="s">
        <v>103</v>
      </c>
    </row>
    <row r="27" spans="1:19" x14ac:dyDescent="0.3">
      <c r="A27" s="38">
        <v>1436</v>
      </c>
      <c r="B27" s="38" t="s">
        <v>10</v>
      </c>
      <c r="C27" s="38" t="s">
        <v>82</v>
      </c>
      <c r="D27" s="40" t="s">
        <v>80</v>
      </c>
      <c r="E27" s="40"/>
      <c r="F27" s="39">
        <v>1.5</v>
      </c>
      <c r="G27" s="39">
        <v>3</v>
      </c>
      <c r="H27" s="39">
        <v>1.5</v>
      </c>
      <c r="I27" s="39">
        <v>3</v>
      </c>
      <c r="J27" s="39">
        <v>1.5</v>
      </c>
      <c r="K27" s="39">
        <v>3</v>
      </c>
      <c r="L27" s="39">
        <v>1.5</v>
      </c>
      <c r="M27" s="39">
        <v>3</v>
      </c>
      <c r="N27" s="39">
        <v>0</v>
      </c>
      <c r="O27" s="39">
        <v>0</v>
      </c>
      <c r="P27" s="38">
        <v>2023</v>
      </c>
      <c r="Q27" s="38" t="s">
        <v>197</v>
      </c>
      <c r="R27" s="38" t="s">
        <v>80</v>
      </c>
      <c r="S27" s="38" t="s">
        <v>103</v>
      </c>
    </row>
    <row r="28" spans="1:19" x14ac:dyDescent="0.3">
      <c r="A28" s="38">
        <v>1437</v>
      </c>
      <c r="B28" s="38" t="s">
        <v>10</v>
      </c>
      <c r="C28" s="38" t="s">
        <v>126</v>
      </c>
      <c r="D28" s="40" t="s">
        <v>80</v>
      </c>
      <c r="E28" s="40"/>
      <c r="F28" s="39">
        <v>1.5</v>
      </c>
      <c r="G28" s="39">
        <v>3</v>
      </c>
      <c r="H28" s="39">
        <v>1.5</v>
      </c>
      <c r="I28" s="39">
        <v>3</v>
      </c>
      <c r="J28" s="39">
        <v>1.5</v>
      </c>
      <c r="K28" s="39">
        <v>3</v>
      </c>
      <c r="L28" s="39">
        <v>1.5</v>
      </c>
      <c r="M28" s="39">
        <v>3</v>
      </c>
      <c r="N28" s="39">
        <v>0</v>
      </c>
      <c r="O28" s="39">
        <v>0</v>
      </c>
      <c r="P28" s="38">
        <v>2023</v>
      </c>
      <c r="Q28" s="38" t="s">
        <v>197</v>
      </c>
      <c r="R28" s="38" t="s">
        <v>80</v>
      </c>
      <c r="S28" s="38" t="s">
        <v>103</v>
      </c>
    </row>
    <row r="29" spans="1:19" x14ac:dyDescent="0.3">
      <c r="A29" s="38">
        <v>1438</v>
      </c>
      <c r="B29" s="38" t="s">
        <v>10</v>
      </c>
      <c r="C29" s="38" t="s">
        <v>83</v>
      </c>
      <c r="D29" s="40" t="s">
        <v>80</v>
      </c>
      <c r="E29" s="40"/>
      <c r="F29" s="39">
        <v>1.5</v>
      </c>
      <c r="G29" s="39">
        <v>3</v>
      </c>
      <c r="H29" s="39">
        <v>1.5</v>
      </c>
      <c r="I29" s="39">
        <v>3</v>
      </c>
      <c r="J29" s="39">
        <v>1.5</v>
      </c>
      <c r="K29" s="39">
        <v>3</v>
      </c>
      <c r="L29" s="39">
        <v>1.5</v>
      </c>
      <c r="M29" s="39">
        <v>3</v>
      </c>
      <c r="N29" s="39">
        <v>0</v>
      </c>
      <c r="O29" s="39">
        <v>0</v>
      </c>
      <c r="P29" s="38">
        <v>2023</v>
      </c>
      <c r="Q29" s="38" t="s">
        <v>197</v>
      </c>
      <c r="R29" s="38" t="s">
        <v>80</v>
      </c>
      <c r="S29" s="38" t="s">
        <v>103</v>
      </c>
    </row>
    <row r="30" spans="1:19" x14ac:dyDescent="0.3">
      <c r="A30" s="38">
        <v>2086</v>
      </c>
      <c r="B30" s="38" t="s">
        <v>10</v>
      </c>
      <c r="C30" s="38" t="s">
        <v>139</v>
      </c>
      <c r="D30" s="40" t="s">
        <v>80</v>
      </c>
      <c r="E30" s="53" t="s">
        <v>140</v>
      </c>
      <c r="F30" s="39">
        <v>1.5</v>
      </c>
      <c r="G30" s="39">
        <v>4</v>
      </c>
      <c r="H30" s="39">
        <v>1.5</v>
      </c>
      <c r="I30" s="39">
        <v>4</v>
      </c>
      <c r="J30" s="39">
        <v>1.5</v>
      </c>
      <c r="K30" s="39">
        <v>4</v>
      </c>
      <c r="L30" s="39">
        <v>1.5</v>
      </c>
      <c r="M30" s="39">
        <v>4</v>
      </c>
      <c r="N30" s="39">
        <v>0</v>
      </c>
      <c r="O30" s="39">
        <v>0</v>
      </c>
      <c r="P30" s="38">
        <v>2023</v>
      </c>
      <c r="Q30" s="38" t="s">
        <v>197</v>
      </c>
      <c r="R30" s="38" t="s">
        <v>80</v>
      </c>
      <c r="S30" s="38" t="s">
        <v>103</v>
      </c>
    </row>
    <row r="31" spans="1:19" x14ac:dyDescent="0.3">
      <c r="A31" s="38">
        <v>1965</v>
      </c>
      <c r="B31" s="38" t="s">
        <v>10</v>
      </c>
      <c r="C31" s="38" t="s">
        <v>121</v>
      </c>
      <c r="D31" s="40">
        <v>50</v>
      </c>
      <c r="E31" s="40">
        <v>50</v>
      </c>
      <c r="F31" s="39">
        <v>2</v>
      </c>
      <c r="G31" s="39">
        <v>8</v>
      </c>
      <c r="H31" s="39">
        <v>2</v>
      </c>
      <c r="I31" s="39">
        <v>7</v>
      </c>
      <c r="J31" s="39">
        <v>2</v>
      </c>
      <c r="K31" s="39">
        <v>4</v>
      </c>
      <c r="L31" s="39">
        <v>2</v>
      </c>
      <c r="M31" s="39">
        <v>2.5</v>
      </c>
      <c r="N31" s="39">
        <v>0</v>
      </c>
      <c r="O31" s="39">
        <v>0</v>
      </c>
      <c r="P31" s="38">
        <v>2024</v>
      </c>
      <c r="Q31" s="38" t="s">
        <v>79</v>
      </c>
      <c r="R31" s="38" t="s">
        <v>81</v>
      </c>
      <c r="S31" s="38" t="s">
        <v>103</v>
      </c>
    </row>
    <row r="32" spans="1:19" x14ac:dyDescent="0.3">
      <c r="A32" s="38">
        <v>1968</v>
      </c>
      <c r="B32" s="38" t="s">
        <v>10</v>
      </c>
      <c r="C32" s="38" t="s">
        <v>123</v>
      </c>
      <c r="D32" s="40">
        <v>50</v>
      </c>
      <c r="E32" s="40">
        <v>50</v>
      </c>
      <c r="F32" s="39">
        <v>2</v>
      </c>
      <c r="G32" s="39">
        <v>8</v>
      </c>
      <c r="H32" s="39">
        <v>2</v>
      </c>
      <c r="I32" s="39">
        <v>8</v>
      </c>
      <c r="J32" s="39">
        <v>2</v>
      </c>
      <c r="K32" s="39">
        <v>4</v>
      </c>
      <c r="L32" s="39">
        <v>2</v>
      </c>
      <c r="M32" s="39">
        <v>3</v>
      </c>
      <c r="N32" s="39">
        <v>0</v>
      </c>
      <c r="O32" s="39">
        <v>0</v>
      </c>
      <c r="P32" s="38">
        <v>2024</v>
      </c>
      <c r="Q32" s="38" t="s">
        <v>79</v>
      </c>
      <c r="R32" s="38" t="s">
        <v>81</v>
      </c>
      <c r="S32" s="38" t="s">
        <v>103</v>
      </c>
    </row>
    <row r="33" spans="1:20" x14ac:dyDescent="0.3">
      <c r="A33" s="38">
        <v>1972</v>
      </c>
      <c r="B33" s="38" t="s">
        <v>10</v>
      </c>
      <c r="C33" s="38" t="s">
        <v>124</v>
      </c>
      <c r="D33" s="40">
        <v>50</v>
      </c>
      <c r="E33" s="40">
        <v>50</v>
      </c>
      <c r="F33" s="39">
        <v>2</v>
      </c>
      <c r="G33" s="39">
        <v>8</v>
      </c>
      <c r="H33" s="39">
        <v>2</v>
      </c>
      <c r="I33" s="39">
        <v>8</v>
      </c>
      <c r="J33" s="39">
        <v>2</v>
      </c>
      <c r="K33" s="39">
        <v>6</v>
      </c>
      <c r="L33" s="39">
        <v>2</v>
      </c>
      <c r="M33" s="39">
        <v>3</v>
      </c>
      <c r="N33" s="39">
        <v>0</v>
      </c>
      <c r="O33" s="39">
        <v>0</v>
      </c>
      <c r="P33" s="38">
        <v>2024</v>
      </c>
      <c r="Q33" s="38" t="s">
        <v>79</v>
      </c>
      <c r="R33" s="38" t="s">
        <v>81</v>
      </c>
      <c r="S33" s="38" t="s">
        <v>103</v>
      </c>
    </row>
    <row r="34" spans="1:20" x14ac:dyDescent="0.3">
      <c r="A34" s="38">
        <v>1966</v>
      </c>
      <c r="B34" s="38" t="s">
        <v>10</v>
      </c>
      <c r="C34" s="38" t="s">
        <v>122</v>
      </c>
      <c r="D34" s="40">
        <v>50</v>
      </c>
      <c r="E34" s="40">
        <v>50</v>
      </c>
      <c r="F34" s="39">
        <v>2</v>
      </c>
      <c r="G34" s="39">
        <v>8</v>
      </c>
      <c r="H34" s="39">
        <v>2</v>
      </c>
      <c r="I34" s="39">
        <v>5</v>
      </c>
      <c r="J34" s="39">
        <v>2</v>
      </c>
      <c r="K34" s="39">
        <v>3</v>
      </c>
      <c r="L34" s="39">
        <v>2</v>
      </c>
      <c r="M34" s="39">
        <v>3</v>
      </c>
      <c r="N34" s="39">
        <v>0</v>
      </c>
      <c r="O34" s="39">
        <v>0</v>
      </c>
      <c r="P34" s="38">
        <v>2024</v>
      </c>
      <c r="Q34" s="38" t="s">
        <v>79</v>
      </c>
      <c r="R34" s="38" t="s">
        <v>81</v>
      </c>
      <c r="S34" s="38" t="s">
        <v>103</v>
      </c>
    </row>
    <row r="35" spans="1:20" x14ac:dyDescent="0.3">
      <c r="A35" s="38">
        <v>2088</v>
      </c>
      <c r="B35" s="38" t="s">
        <v>10</v>
      </c>
      <c r="C35" s="38" t="s">
        <v>141</v>
      </c>
      <c r="D35" s="40">
        <v>50</v>
      </c>
      <c r="E35" s="40">
        <v>50</v>
      </c>
      <c r="F35" s="39">
        <v>2</v>
      </c>
      <c r="G35" s="39">
        <v>8</v>
      </c>
      <c r="H35" s="39">
        <v>2</v>
      </c>
      <c r="I35" s="39">
        <v>8</v>
      </c>
      <c r="J35" s="39">
        <v>2</v>
      </c>
      <c r="K35" s="39">
        <v>8</v>
      </c>
      <c r="L35" s="39">
        <v>2</v>
      </c>
      <c r="M35" s="39">
        <v>6</v>
      </c>
      <c r="N35" s="39">
        <v>0</v>
      </c>
      <c r="O35" s="39">
        <v>0</v>
      </c>
      <c r="P35" s="38">
        <v>2023</v>
      </c>
      <c r="Q35" s="38" t="s">
        <v>79</v>
      </c>
      <c r="R35" s="38" t="s">
        <v>81</v>
      </c>
      <c r="S35" s="38" t="s">
        <v>103</v>
      </c>
    </row>
    <row r="36" spans="1:20" x14ac:dyDescent="0.3">
      <c r="A36" s="38">
        <v>1801</v>
      </c>
      <c r="B36" s="38" t="s">
        <v>10</v>
      </c>
      <c r="C36" s="38" t="s">
        <v>21</v>
      </c>
      <c r="D36" s="40">
        <v>50</v>
      </c>
      <c r="E36" s="40" t="s">
        <v>75</v>
      </c>
      <c r="F36" s="39">
        <v>1.5</v>
      </c>
      <c r="G36" s="39">
        <v>6</v>
      </c>
      <c r="H36" s="39">
        <v>1.5</v>
      </c>
      <c r="I36" s="39">
        <v>3</v>
      </c>
      <c r="J36" s="39">
        <v>1.5</v>
      </c>
      <c r="K36" s="39">
        <v>2</v>
      </c>
      <c r="L36" s="39">
        <v>1.5</v>
      </c>
      <c r="M36" s="39">
        <v>1.5</v>
      </c>
      <c r="N36" s="39">
        <v>0</v>
      </c>
      <c r="O36" s="39">
        <v>0</v>
      </c>
      <c r="P36" s="38">
        <v>2023</v>
      </c>
      <c r="Q36" s="38" t="s">
        <v>78</v>
      </c>
      <c r="R36" s="38" t="s">
        <v>81</v>
      </c>
      <c r="S36" s="38" t="s">
        <v>103</v>
      </c>
    </row>
    <row r="37" spans="1:20" x14ac:dyDescent="0.3">
      <c r="A37" s="38">
        <v>1663</v>
      </c>
      <c r="B37" s="38" t="s">
        <v>10</v>
      </c>
      <c r="C37" s="38" t="s">
        <v>77</v>
      </c>
      <c r="D37" s="40">
        <v>50</v>
      </c>
      <c r="E37" s="40" t="s">
        <v>75</v>
      </c>
      <c r="F37" s="39">
        <v>1</v>
      </c>
      <c r="G37" s="39">
        <v>6</v>
      </c>
      <c r="H37" s="39">
        <v>1</v>
      </c>
      <c r="I37" s="39">
        <v>4</v>
      </c>
      <c r="J37" s="39">
        <v>1</v>
      </c>
      <c r="K37" s="39">
        <v>1.5</v>
      </c>
      <c r="L37" s="39">
        <v>1</v>
      </c>
      <c r="M37" s="39">
        <v>1</v>
      </c>
      <c r="N37" s="39">
        <v>0</v>
      </c>
      <c r="O37" s="39">
        <v>0</v>
      </c>
      <c r="P37" s="38">
        <v>2023</v>
      </c>
      <c r="Q37" s="38" t="s">
        <v>78</v>
      </c>
      <c r="R37" s="38" t="s">
        <v>81</v>
      </c>
      <c r="S37" s="38" t="s">
        <v>103</v>
      </c>
    </row>
    <row r="38" spans="1:20" x14ac:dyDescent="0.3">
      <c r="A38" s="38">
        <v>1936</v>
      </c>
      <c r="B38" s="38" t="s">
        <v>10</v>
      </c>
      <c r="C38" s="38" t="s">
        <v>117</v>
      </c>
      <c r="D38" s="40">
        <v>50</v>
      </c>
      <c r="E38" s="40">
        <v>50</v>
      </c>
      <c r="F38" s="39">
        <v>1</v>
      </c>
      <c r="G38" s="39">
        <v>6</v>
      </c>
      <c r="H38" s="39">
        <v>1</v>
      </c>
      <c r="I38" s="39">
        <v>6</v>
      </c>
      <c r="J38" s="39">
        <v>1</v>
      </c>
      <c r="K38" s="39">
        <v>3</v>
      </c>
      <c r="L38" s="39">
        <v>1</v>
      </c>
      <c r="M38" s="39">
        <v>1</v>
      </c>
      <c r="N38" s="39">
        <v>0</v>
      </c>
      <c r="O38" s="39">
        <v>0</v>
      </c>
      <c r="P38" s="38">
        <v>2023</v>
      </c>
      <c r="Q38" s="38" t="s">
        <v>78</v>
      </c>
      <c r="R38" s="38" t="s">
        <v>81</v>
      </c>
      <c r="S38" s="38" t="s">
        <v>103</v>
      </c>
    </row>
    <row r="39" spans="1:20" x14ac:dyDescent="0.3">
      <c r="A39" s="38">
        <v>2053</v>
      </c>
      <c r="B39" s="38" t="s">
        <v>10</v>
      </c>
      <c r="C39" s="38" t="s">
        <v>134</v>
      </c>
      <c r="D39" s="40">
        <v>25</v>
      </c>
      <c r="E39" s="40">
        <v>40</v>
      </c>
      <c r="F39" s="39">
        <v>1.5</v>
      </c>
      <c r="G39" s="39">
        <v>8</v>
      </c>
      <c r="H39" s="39">
        <v>1.5</v>
      </c>
      <c r="I39" s="39">
        <v>3</v>
      </c>
      <c r="J39" s="39">
        <v>1.5</v>
      </c>
      <c r="K39" s="39">
        <v>3</v>
      </c>
      <c r="L39" s="39">
        <v>1.5</v>
      </c>
      <c r="M39" s="39">
        <v>2</v>
      </c>
      <c r="N39" s="39">
        <v>1.5</v>
      </c>
      <c r="O39" s="39">
        <v>1.6</v>
      </c>
      <c r="P39" s="38">
        <v>2022</v>
      </c>
      <c r="Q39" s="38" t="s">
        <v>78</v>
      </c>
      <c r="R39" s="38" t="s">
        <v>81</v>
      </c>
      <c r="S39" s="38" t="s">
        <v>103</v>
      </c>
    </row>
    <row r="40" spans="1:20" x14ac:dyDescent="0.3">
      <c r="A40" s="38">
        <v>2052</v>
      </c>
      <c r="B40" s="38" t="s">
        <v>10</v>
      </c>
      <c r="C40" s="38" t="s">
        <v>133</v>
      </c>
      <c r="D40" s="40">
        <v>25</v>
      </c>
      <c r="E40" s="40">
        <v>40</v>
      </c>
      <c r="F40" s="39">
        <v>1.5</v>
      </c>
      <c r="G40" s="39">
        <v>8</v>
      </c>
      <c r="H40" s="39">
        <v>1.5</v>
      </c>
      <c r="I40" s="39">
        <v>3</v>
      </c>
      <c r="J40" s="39">
        <v>1.5</v>
      </c>
      <c r="K40" s="39">
        <v>3</v>
      </c>
      <c r="L40" s="39">
        <v>1.5</v>
      </c>
      <c r="M40" s="39">
        <v>3</v>
      </c>
      <c r="N40" s="39">
        <v>1.5</v>
      </c>
      <c r="O40" s="39">
        <v>1.6</v>
      </c>
      <c r="P40" s="38">
        <v>2022</v>
      </c>
      <c r="Q40" s="38" t="s">
        <v>78</v>
      </c>
      <c r="R40" s="38" t="s">
        <v>81</v>
      </c>
      <c r="S40" s="38" t="s">
        <v>103</v>
      </c>
    </row>
    <row r="41" spans="1:20" x14ac:dyDescent="0.3">
      <c r="A41" s="38">
        <v>2300</v>
      </c>
      <c r="B41" s="38" t="s">
        <v>10</v>
      </c>
      <c r="C41" s="38" t="s">
        <v>153</v>
      </c>
      <c r="D41" s="40">
        <v>25</v>
      </c>
      <c r="E41" s="40">
        <v>40</v>
      </c>
      <c r="F41" s="39">
        <v>1.5</v>
      </c>
      <c r="G41" s="39">
        <v>8</v>
      </c>
      <c r="H41" s="39">
        <v>1.5</v>
      </c>
      <c r="I41" s="39">
        <v>2</v>
      </c>
      <c r="J41" s="39">
        <v>1.5</v>
      </c>
      <c r="K41" s="39">
        <v>2</v>
      </c>
      <c r="L41" s="39">
        <v>1.5</v>
      </c>
      <c r="M41" s="39">
        <v>2</v>
      </c>
      <c r="N41" s="39">
        <v>1.5</v>
      </c>
      <c r="O41" s="39">
        <v>2</v>
      </c>
      <c r="P41" s="38">
        <v>2027</v>
      </c>
      <c r="Q41" s="38" t="s">
        <v>78</v>
      </c>
      <c r="R41" s="38" t="s">
        <v>81</v>
      </c>
      <c r="S41" s="38" t="s">
        <v>103</v>
      </c>
    </row>
    <row r="42" spans="1:20" x14ac:dyDescent="0.3">
      <c r="A42" s="38">
        <v>2311</v>
      </c>
      <c r="B42" s="38" t="s">
        <v>10</v>
      </c>
      <c r="C42" s="38" t="s">
        <v>154</v>
      </c>
      <c r="D42" s="40">
        <v>25</v>
      </c>
      <c r="E42" s="40">
        <v>40</v>
      </c>
      <c r="F42" s="39">
        <v>1.5</v>
      </c>
      <c r="G42" s="39">
        <v>8</v>
      </c>
      <c r="H42" s="39">
        <v>1.5</v>
      </c>
      <c r="I42" s="39">
        <v>8</v>
      </c>
      <c r="J42" s="39">
        <v>1.5</v>
      </c>
      <c r="K42" s="39">
        <v>8</v>
      </c>
      <c r="L42" s="39">
        <v>1.5</v>
      </c>
      <c r="M42" s="39">
        <v>8</v>
      </c>
      <c r="N42" s="39">
        <v>1.5</v>
      </c>
      <c r="O42" s="39">
        <v>8</v>
      </c>
      <c r="P42" s="38">
        <v>2028</v>
      </c>
      <c r="Q42" s="38" t="s">
        <v>78</v>
      </c>
      <c r="R42" s="38" t="s">
        <v>81</v>
      </c>
      <c r="S42" s="38" t="s">
        <v>103</v>
      </c>
    </row>
    <row r="43" spans="1:20" x14ac:dyDescent="0.3">
      <c r="A43" s="38">
        <v>1799</v>
      </c>
      <c r="B43" s="38" t="s">
        <v>10</v>
      </c>
      <c r="C43" s="38" t="s">
        <v>87</v>
      </c>
      <c r="D43" s="40">
        <v>50</v>
      </c>
      <c r="E43" s="40" t="s">
        <v>75</v>
      </c>
      <c r="F43" s="39">
        <v>1</v>
      </c>
      <c r="G43" s="39">
        <v>6</v>
      </c>
      <c r="H43" s="39">
        <v>1</v>
      </c>
      <c r="I43" s="39">
        <v>3</v>
      </c>
      <c r="J43" s="39">
        <v>1</v>
      </c>
      <c r="K43" s="39">
        <v>1.5</v>
      </c>
      <c r="L43" s="39">
        <v>1</v>
      </c>
      <c r="M43" s="39">
        <v>1</v>
      </c>
      <c r="N43" s="39">
        <v>0</v>
      </c>
      <c r="O43" s="39">
        <v>0</v>
      </c>
      <c r="P43" s="38">
        <v>2023</v>
      </c>
      <c r="Q43" s="38" t="s">
        <v>78</v>
      </c>
      <c r="R43" s="38" t="s">
        <v>81</v>
      </c>
      <c r="S43" s="38" t="s">
        <v>103</v>
      </c>
    </row>
    <row r="44" spans="1:20" x14ac:dyDescent="0.3">
      <c r="A44" s="38">
        <v>1718</v>
      </c>
      <c r="B44" s="38" t="s">
        <v>10</v>
      </c>
      <c r="C44" s="38" t="s">
        <v>86</v>
      </c>
      <c r="D44" s="40">
        <v>50</v>
      </c>
      <c r="E44" s="40" t="s">
        <v>75</v>
      </c>
      <c r="F44" s="39">
        <v>1</v>
      </c>
      <c r="G44" s="39">
        <v>6</v>
      </c>
      <c r="H44" s="39">
        <v>1</v>
      </c>
      <c r="I44" s="39">
        <v>3</v>
      </c>
      <c r="J44" s="39">
        <v>1</v>
      </c>
      <c r="K44" s="39">
        <v>1.5</v>
      </c>
      <c r="L44" s="39">
        <v>1</v>
      </c>
      <c r="M44" s="39">
        <v>1</v>
      </c>
      <c r="N44" s="39">
        <v>0</v>
      </c>
      <c r="O44" s="39">
        <v>0</v>
      </c>
      <c r="P44" s="38">
        <v>2027</v>
      </c>
      <c r="Q44" s="38" t="s">
        <v>78</v>
      </c>
      <c r="R44" s="38" t="s">
        <v>81</v>
      </c>
      <c r="S44" s="38" t="s">
        <v>103</v>
      </c>
    </row>
    <row r="45" spans="1:20" x14ac:dyDescent="0.3">
      <c r="A45" s="38">
        <v>1787</v>
      </c>
      <c r="B45" s="38" t="s">
        <v>10</v>
      </c>
      <c r="C45" s="38" t="s">
        <v>204</v>
      </c>
      <c r="D45" s="40">
        <v>50</v>
      </c>
      <c r="E45" s="40" t="s">
        <v>75</v>
      </c>
      <c r="F45" s="39">
        <v>1</v>
      </c>
      <c r="G45" s="39">
        <v>6</v>
      </c>
      <c r="H45" s="39">
        <v>1</v>
      </c>
      <c r="I45" s="39">
        <v>3</v>
      </c>
      <c r="J45" s="39">
        <v>1</v>
      </c>
      <c r="K45" s="39">
        <v>1.5</v>
      </c>
      <c r="L45" s="39">
        <v>1</v>
      </c>
      <c r="M45" s="39">
        <v>1</v>
      </c>
      <c r="N45" s="39">
        <v>0</v>
      </c>
      <c r="O45" s="39">
        <v>0</v>
      </c>
      <c r="P45" s="38">
        <v>2027</v>
      </c>
      <c r="Q45" s="38" t="s">
        <v>78</v>
      </c>
      <c r="R45" s="38" t="s">
        <v>81</v>
      </c>
      <c r="S45" s="38" t="s">
        <v>198</v>
      </c>
      <c r="T45" s="38" t="s">
        <v>87</v>
      </c>
    </row>
    <row r="46" spans="1:20" x14ac:dyDescent="0.3">
      <c r="A46" s="38">
        <v>1787</v>
      </c>
      <c r="B46" s="38" t="s">
        <v>10</v>
      </c>
      <c r="C46" s="38" t="s">
        <v>204</v>
      </c>
      <c r="D46" s="40">
        <v>50</v>
      </c>
      <c r="E46" s="40">
        <v>50</v>
      </c>
      <c r="F46" s="39">
        <v>1</v>
      </c>
      <c r="G46" s="39">
        <v>6</v>
      </c>
      <c r="H46" s="39">
        <v>1</v>
      </c>
      <c r="I46" s="39">
        <v>4</v>
      </c>
      <c r="J46" s="39">
        <v>1</v>
      </c>
      <c r="K46" s="39">
        <v>2</v>
      </c>
      <c r="L46" s="39">
        <v>1</v>
      </c>
      <c r="M46" s="39">
        <v>1.5</v>
      </c>
      <c r="N46" s="39">
        <v>0</v>
      </c>
      <c r="O46" s="39">
        <v>0</v>
      </c>
      <c r="P46" s="38">
        <v>2027</v>
      </c>
      <c r="Q46" s="38" t="s">
        <v>78</v>
      </c>
      <c r="R46" s="38" t="s">
        <v>81</v>
      </c>
      <c r="S46" s="38" t="s">
        <v>198</v>
      </c>
      <c r="T46" s="38" t="s">
        <v>105</v>
      </c>
    </row>
    <row r="47" spans="1:20" x14ac:dyDescent="0.3">
      <c r="A47" s="38">
        <v>1788</v>
      </c>
      <c r="B47" s="38" t="s">
        <v>10</v>
      </c>
      <c r="C47" s="38" t="s">
        <v>205</v>
      </c>
      <c r="D47" s="40">
        <v>50</v>
      </c>
      <c r="E47" s="40">
        <v>50</v>
      </c>
      <c r="F47" s="39">
        <v>1</v>
      </c>
      <c r="G47" s="39">
        <v>6</v>
      </c>
      <c r="H47" s="39">
        <v>1</v>
      </c>
      <c r="I47" s="39">
        <v>3</v>
      </c>
      <c r="J47" s="39">
        <v>1</v>
      </c>
      <c r="K47" s="39">
        <v>1.5</v>
      </c>
      <c r="L47" s="39">
        <v>1</v>
      </c>
      <c r="M47" s="39">
        <v>1</v>
      </c>
      <c r="N47" s="39">
        <v>0</v>
      </c>
      <c r="O47" s="39">
        <v>0</v>
      </c>
      <c r="P47" s="38">
        <v>2027</v>
      </c>
      <c r="Q47" s="38" t="s">
        <v>78</v>
      </c>
      <c r="R47" s="38" t="s">
        <v>81</v>
      </c>
      <c r="S47" s="38" t="s">
        <v>198</v>
      </c>
      <c r="T47" s="38" t="s">
        <v>86</v>
      </c>
    </row>
    <row r="48" spans="1:20" x14ac:dyDescent="0.3">
      <c r="A48" s="38">
        <v>1788</v>
      </c>
      <c r="B48" s="38" t="s">
        <v>10</v>
      </c>
      <c r="C48" s="38" t="s">
        <v>205</v>
      </c>
      <c r="D48" s="40">
        <v>50</v>
      </c>
      <c r="E48" s="40">
        <v>50</v>
      </c>
      <c r="F48" s="39">
        <v>1</v>
      </c>
      <c r="G48" s="39">
        <v>6</v>
      </c>
      <c r="H48" s="39">
        <v>1</v>
      </c>
      <c r="I48" s="39">
        <v>2</v>
      </c>
      <c r="J48" s="39">
        <v>1</v>
      </c>
      <c r="K48" s="39">
        <v>1.5</v>
      </c>
      <c r="L48" s="39">
        <v>1</v>
      </c>
      <c r="M48" s="39">
        <v>1</v>
      </c>
      <c r="N48" s="39">
        <v>0</v>
      </c>
      <c r="O48" s="39">
        <v>0</v>
      </c>
      <c r="P48" s="38">
        <v>2027</v>
      </c>
      <c r="Q48" s="38" t="s">
        <v>78</v>
      </c>
      <c r="R48" s="38" t="s">
        <v>81</v>
      </c>
      <c r="S48" s="38" t="s">
        <v>198</v>
      </c>
      <c r="T48" s="38" t="s">
        <v>106</v>
      </c>
    </row>
    <row r="49" spans="1:20" x14ac:dyDescent="0.3">
      <c r="A49" s="38">
        <v>1789</v>
      </c>
      <c r="B49" s="38" t="s">
        <v>10</v>
      </c>
      <c r="C49" s="38" t="s">
        <v>206</v>
      </c>
      <c r="D49" s="40">
        <v>50</v>
      </c>
      <c r="E49" s="40">
        <v>50</v>
      </c>
      <c r="F49" s="39">
        <v>1</v>
      </c>
      <c r="G49" s="39">
        <v>6</v>
      </c>
      <c r="H49" s="39">
        <v>1</v>
      </c>
      <c r="I49" s="39">
        <v>4</v>
      </c>
      <c r="J49" s="39">
        <v>1</v>
      </c>
      <c r="K49" s="39">
        <v>1.5</v>
      </c>
      <c r="L49" s="39">
        <v>1</v>
      </c>
      <c r="M49" s="39">
        <v>1</v>
      </c>
      <c r="N49" s="39">
        <v>0</v>
      </c>
      <c r="O49" s="39">
        <v>0</v>
      </c>
      <c r="P49" s="38">
        <v>2027</v>
      </c>
      <c r="Q49" s="38" t="s">
        <v>78</v>
      </c>
      <c r="R49" s="38" t="s">
        <v>81</v>
      </c>
      <c r="S49" s="38" t="s">
        <v>198</v>
      </c>
      <c r="T49" s="38" t="s">
        <v>77</v>
      </c>
    </row>
    <row r="50" spans="1:20" x14ac:dyDescent="0.3">
      <c r="A50" s="38">
        <v>1789</v>
      </c>
      <c r="B50" s="38" t="s">
        <v>10</v>
      </c>
      <c r="C50" s="38" t="s">
        <v>206</v>
      </c>
      <c r="D50" s="40">
        <v>50</v>
      </c>
      <c r="E50" s="40">
        <v>50</v>
      </c>
      <c r="F50" s="39">
        <v>1</v>
      </c>
      <c r="G50" s="39">
        <v>6</v>
      </c>
      <c r="H50" s="39">
        <v>1</v>
      </c>
      <c r="I50" s="39">
        <v>3</v>
      </c>
      <c r="J50" s="39">
        <v>1</v>
      </c>
      <c r="K50" s="39">
        <v>1.5</v>
      </c>
      <c r="L50" s="39">
        <v>1</v>
      </c>
      <c r="M50" s="39">
        <v>1</v>
      </c>
      <c r="N50" s="39">
        <v>0</v>
      </c>
      <c r="O50" s="39">
        <v>0</v>
      </c>
      <c r="P50" s="38">
        <v>2027</v>
      </c>
      <c r="Q50" s="38" t="s">
        <v>78</v>
      </c>
      <c r="R50" s="38" t="s">
        <v>81</v>
      </c>
      <c r="S50" s="38" t="s">
        <v>198</v>
      </c>
      <c r="T50" s="38" t="s">
        <v>107</v>
      </c>
    </row>
    <row r="51" spans="1:20" x14ac:dyDescent="0.3">
      <c r="A51" s="38">
        <v>1998</v>
      </c>
      <c r="B51" s="38" t="s">
        <v>10</v>
      </c>
      <c r="C51" s="38" t="s">
        <v>212</v>
      </c>
      <c r="D51" s="40">
        <v>50</v>
      </c>
      <c r="E51" s="40">
        <v>50</v>
      </c>
      <c r="F51" s="39">
        <v>1</v>
      </c>
      <c r="G51" s="39">
        <v>6</v>
      </c>
      <c r="H51" s="39">
        <v>1</v>
      </c>
      <c r="I51" s="39">
        <v>6</v>
      </c>
      <c r="J51" s="39">
        <v>1</v>
      </c>
      <c r="K51" s="39">
        <v>3</v>
      </c>
      <c r="L51" s="39">
        <v>1</v>
      </c>
      <c r="M51" s="39">
        <v>1</v>
      </c>
      <c r="N51" s="39">
        <v>0</v>
      </c>
      <c r="O51" s="39">
        <v>0</v>
      </c>
      <c r="P51" s="38">
        <v>2025</v>
      </c>
      <c r="Q51" s="38" t="s">
        <v>78</v>
      </c>
      <c r="R51" s="38" t="s">
        <v>81</v>
      </c>
      <c r="S51" s="38" t="s">
        <v>198</v>
      </c>
      <c r="T51" s="38" t="s">
        <v>117</v>
      </c>
    </row>
    <row r="52" spans="1:20" x14ac:dyDescent="0.3">
      <c r="A52" s="38">
        <v>1998</v>
      </c>
      <c r="B52" s="38" t="s">
        <v>10</v>
      </c>
      <c r="C52" s="38" t="s">
        <v>212</v>
      </c>
      <c r="D52" s="40">
        <v>50</v>
      </c>
      <c r="E52" s="40">
        <v>50</v>
      </c>
      <c r="F52" s="39">
        <v>1</v>
      </c>
      <c r="G52" s="39">
        <v>6</v>
      </c>
      <c r="H52" s="39">
        <v>1</v>
      </c>
      <c r="I52" s="39">
        <v>6</v>
      </c>
      <c r="J52" s="39">
        <v>1</v>
      </c>
      <c r="K52" s="39">
        <v>2</v>
      </c>
      <c r="L52" s="39">
        <v>1</v>
      </c>
      <c r="M52" s="39">
        <v>1</v>
      </c>
      <c r="N52" s="39">
        <v>0</v>
      </c>
      <c r="O52" s="39">
        <v>0</v>
      </c>
      <c r="P52" s="38">
        <v>2025</v>
      </c>
      <c r="Q52" s="38" t="s">
        <v>78</v>
      </c>
      <c r="R52" s="38" t="s">
        <v>81</v>
      </c>
      <c r="S52" s="38" t="s">
        <v>198</v>
      </c>
      <c r="T52" s="38" t="s">
        <v>116</v>
      </c>
    </row>
    <row r="53" spans="1:20" x14ac:dyDescent="0.3">
      <c r="A53" s="38">
        <v>1911</v>
      </c>
      <c r="B53" s="38" t="s">
        <v>10</v>
      </c>
      <c r="C53" s="38" t="s">
        <v>114</v>
      </c>
      <c r="D53" s="40">
        <v>50</v>
      </c>
      <c r="E53" s="40">
        <v>50</v>
      </c>
      <c r="F53" s="39">
        <v>1.5</v>
      </c>
      <c r="G53" s="39">
        <v>6</v>
      </c>
      <c r="H53" s="39">
        <v>1.5</v>
      </c>
      <c r="I53" s="39">
        <v>5</v>
      </c>
      <c r="J53" s="39">
        <v>1.5</v>
      </c>
      <c r="K53" s="39">
        <v>3</v>
      </c>
      <c r="L53" s="39">
        <v>1.5</v>
      </c>
      <c r="M53" s="39">
        <v>1.5</v>
      </c>
      <c r="N53" s="39">
        <v>0</v>
      </c>
      <c r="O53" s="39">
        <v>0</v>
      </c>
      <c r="P53" s="38">
        <v>2027</v>
      </c>
      <c r="Q53" s="38" t="s">
        <v>78</v>
      </c>
      <c r="R53" s="38" t="s">
        <v>81</v>
      </c>
      <c r="S53" s="38" t="s">
        <v>102</v>
      </c>
    </row>
    <row r="54" spans="1:20" x14ac:dyDescent="0.3">
      <c r="A54" s="38">
        <v>1912</v>
      </c>
      <c r="B54" s="38" t="s">
        <v>10</v>
      </c>
      <c r="C54" s="38" t="s">
        <v>115</v>
      </c>
      <c r="D54" s="40">
        <v>50</v>
      </c>
      <c r="E54" s="40">
        <v>50</v>
      </c>
      <c r="F54" s="39">
        <v>1.5</v>
      </c>
      <c r="G54" s="39">
        <v>6</v>
      </c>
      <c r="H54" s="39">
        <v>1.5</v>
      </c>
      <c r="I54" s="39">
        <v>3</v>
      </c>
      <c r="J54" s="39">
        <v>1.5</v>
      </c>
      <c r="K54" s="39">
        <v>2</v>
      </c>
      <c r="L54" s="39">
        <v>1.5</v>
      </c>
      <c r="M54" s="39">
        <v>1.5</v>
      </c>
      <c r="N54" s="39">
        <v>0</v>
      </c>
      <c r="O54" s="39">
        <v>0</v>
      </c>
      <c r="P54" s="38">
        <v>2027</v>
      </c>
      <c r="Q54" s="38" t="s">
        <v>78</v>
      </c>
      <c r="R54" s="38" t="s">
        <v>81</v>
      </c>
      <c r="S54" s="38" t="s">
        <v>102</v>
      </c>
    </row>
    <row r="55" spans="1:20" x14ac:dyDescent="0.3">
      <c r="A55" s="38">
        <v>1882</v>
      </c>
      <c r="B55" s="38" t="s">
        <v>10</v>
      </c>
      <c r="C55" s="38" t="s">
        <v>105</v>
      </c>
      <c r="D55" s="40">
        <v>50</v>
      </c>
      <c r="E55" s="40">
        <v>50</v>
      </c>
      <c r="F55" s="39">
        <v>1</v>
      </c>
      <c r="G55" s="39">
        <v>6</v>
      </c>
      <c r="H55" s="39">
        <v>1</v>
      </c>
      <c r="I55" s="39">
        <v>4</v>
      </c>
      <c r="J55" s="39">
        <v>1</v>
      </c>
      <c r="K55" s="39">
        <v>2</v>
      </c>
      <c r="L55" s="39">
        <v>1</v>
      </c>
      <c r="M55" s="39">
        <v>1.5</v>
      </c>
      <c r="N55" s="39">
        <v>0</v>
      </c>
      <c r="O55" s="39">
        <v>0</v>
      </c>
      <c r="P55" s="38">
        <v>2021</v>
      </c>
      <c r="Q55" s="38" t="s">
        <v>78</v>
      </c>
      <c r="R55" s="38" t="s">
        <v>81</v>
      </c>
      <c r="S55" s="38" t="s">
        <v>102</v>
      </c>
    </row>
    <row r="56" spans="1:20" x14ac:dyDescent="0.3">
      <c r="A56" s="38">
        <v>1883</v>
      </c>
      <c r="B56" s="38" t="s">
        <v>10</v>
      </c>
      <c r="C56" s="38" t="s">
        <v>106</v>
      </c>
      <c r="D56" s="40">
        <v>50</v>
      </c>
      <c r="E56" s="40">
        <v>50</v>
      </c>
      <c r="F56" s="39">
        <v>1</v>
      </c>
      <c r="G56" s="39">
        <v>6</v>
      </c>
      <c r="H56" s="39">
        <v>1</v>
      </c>
      <c r="I56" s="39">
        <v>2</v>
      </c>
      <c r="J56" s="39">
        <v>1</v>
      </c>
      <c r="K56" s="39">
        <v>1.5</v>
      </c>
      <c r="L56" s="39">
        <v>1</v>
      </c>
      <c r="M56" s="39">
        <v>1</v>
      </c>
      <c r="N56" s="39">
        <v>0</v>
      </c>
      <c r="O56" s="39">
        <v>0</v>
      </c>
      <c r="P56" s="38">
        <v>2026</v>
      </c>
      <c r="Q56" s="38" t="s">
        <v>78</v>
      </c>
      <c r="R56" s="38" t="s">
        <v>81</v>
      </c>
      <c r="S56" s="38" t="s">
        <v>102</v>
      </c>
    </row>
    <row r="57" spans="1:20" x14ac:dyDescent="0.3">
      <c r="A57" s="38">
        <v>1837</v>
      </c>
      <c r="B57" s="38" t="s">
        <v>10</v>
      </c>
      <c r="C57" s="38" t="s">
        <v>101</v>
      </c>
      <c r="D57" s="40">
        <v>50</v>
      </c>
      <c r="E57" s="40">
        <v>50</v>
      </c>
      <c r="F57" s="39">
        <v>1</v>
      </c>
      <c r="G57" s="39">
        <v>6</v>
      </c>
      <c r="H57" s="39">
        <v>1</v>
      </c>
      <c r="I57" s="39">
        <v>3</v>
      </c>
      <c r="J57" s="39">
        <v>1</v>
      </c>
      <c r="K57" s="39">
        <v>1.5</v>
      </c>
      <c r="L57" s="39">
        <v>1</v>
      </c>
      <c r="M57" s="39">
        <v>1</v>
      </c>
      <c r="N57" s="39">
        <v>0</v>
      </c>
      <c r="O57" s="39">
        <v>0</v>
      </c>
      <c r="P57" s="38">
        <v>2024</v>
      </c>
      <c r="Q57" s="38" t="s">
        <v>78</v>
      </c>
      <c r="R57" s="38" t="s">
        <v>81</v>
      </c>
      <c r="S57" s="38" t="s">
        <v>102</v>
      </c>
    </row>
    <row r="58" spans="1:20" x14ac:dyDescent="0.3">
      <c r="A58" s="38">
        <v>1884</v>
      </c>
      <c r="B58" s="38" t="s">
        <v>10</v>
      </c>
      <c r="C58" s="38" t="s">
        <v>107</v>
      </c>
      <c r="D58" s="40">
        <v>50</v>
      </c>
      <c r="E58" s="40">
        <v>50</v>
      </c>
      <c r="F58" s="39">
        <v>1</v>
      </c>
      <c r="G58" s="39">
        <v>6</v>
      </c>
      <c r="H58" s="39">
        <v>1</v>
      </c>
      <c r="I58" s="39">
        <v>3</v>
      </c>
      <c r="J58" s="39">
        <v>1</v>
      </c>
      <c r="K58" s="39">
        <v>1.5</v>
      </c>
      <c r="L58" s="39">
        <v>1</v>
      </c>
      <c r="M58" s="39">
        <v>1</v>
      </c>
      <c r="N58" s="39">
        <v>0</v>
      </c>
      <c r="O58" s="39">
        <v>0</v>
      </c>
      <c r="P58" s="38">
        <v>2026</v>
      </c>
      <c r="Q58" s="38" t="s">
        <v>78</v>
      </c>
      <c r="R58" s="38" t="s">
        <v>81</v>
      </c>
      <c r="S58" s="38" t="s">
        <v>102</v>
      </c>
    </row>
    <row r="59" spans="1:20" x14ac:dyDescent="0.3">
      <c r="A59" s="38">
        <v>1836</v>
      </c>
      <c r="B59" s="38" t="s">
        <v>10</v>
      </c>
      <c r="C59" s="38" t="s">
        <v>100</v>
      </c>
      <c r="D59" s="40">
        <v>50</v>
      </c>
      <c r="E59" s="40">
        <v>50</v>
      </c>
      <c r="F59" s="39">
        <v>1</v>
      </c>
      <c r="G59" s="39">
        <v>6</v>
      </c>
      <c r="H59" s="39">
        <v>1</v>
      </c>
      <c r="I59" s="39">
        <v>4</v>
      </c>
      <c r="J59" s="39">
        <v>1</v>
      </c>
      <c r="K59" s="39">
        <v>1.5</v>
      </c>
      <c r="L59" s="39">
        <v>1</v>
      </c>
      <c r="M59" s="39">
        <v>1</v>
      </c>
      <c r="N59" s="39">
        <v>0</v>
      </c>
      <c r="O59" s="39">
        <v>0</v>
      </c>
      <c r="P59" s="38">
        <v>2024</v>
      </c>
      <c r="Q59" s="38" t="s">
        <v>78</v>
      </c>
      <c r="R59" s="38" t="s">
        <v>81</v>
      </c>
      <c r="S59" s="38" t="s">
        <v>102</v>
      </c>
    </row>
    <row r="60" spans="1:20" x14ac:dyDescent="0.3">
      <c r="A60" s="38">
        <v>1935</v>
      </c>
      <c r="B60" s="38" t="s">
        <v>10</v>
      </c>
      <c r="C60" s="38" t="s">
        <v>116</v>
      </c>
      <c r="D60" s="40">
        <v>50</v>
      </c>
      <c r="E60" s="40">
        <v>50</v>
      </c>
      <c r="F60" s="39">
        <v>1</v>
      </c>
      <c r="G60" s="39">
        <v>6</v>
      </c>
      <c r="H60" s="39">
        <v>1</v>
      </c>
      <c r="I60" s="39">
        <v>6</v>
      </c>
      <c r="J60" s="39">
        <v>1</v>
      </c>
      <c r="K60" s="39">
        <v>2</v>
      </c>
      <c r="L60" s="39">
        <v>1</v>
      </c>
      <c r="M60" s="39">
        <v>1</v>
      </c>
      <c r="N60" s="39">
        <v>0</v>
      </c>
      <c r="O60" s="39">
        <v>0</v>
      </c>
      <c r="P60" s="38">
        <v>2023</v>
      </c>
      <c r="Q60" s="38" t="s">
        <v>78</v>
      </c>
      <c r="R60" s="38" t="s">
        <v>81</v>
      </c>
      <c r="S60" s="38" t="s">
        <v>102</v>
      </c>
    </row>
    <row r="61" spans="1:20" x14ac:dyDescent="0.3">
      <c r="A61" s="38">
        <v>2015</v>
      </c>
      <c r="B61" s="38" t="s">
        <v>10</v>
      </c>
      <c r="C61" s="38" t="s">
        <v>128</v>
      </c>
      <c r="D61" s="40">
        <v>50</v>
      </c>
      <c r="E61" s="40">
        <v>50</v>
      </c>
      <c r="F61" s="39">
        <v>1.5</v>
      </c>
      <c r="G61" s="39">
        <v>8</v>
      </c>
      <c r="H61" s="113"/>
      <c r="I61" s="113"/>
      <c r="J61" s="113"/>
      <c r="K61" s="113"/>
      <c r="L61" s="39">
        <v>1.5</v>
      </c>
      <c r="M61" s="39">
        <v>2</v>
      </c>
      <c r="N61" s="39">
        <v>0</v>
      </c>
      <c r="O61" s="39">
        <v>0</v>
      </c>
      <c r="P61" s="38">
        <v>2026</v>
      </c>
      <c r="Q61" s="38" t="s">
        <v>79</v>
      </c>
      <c r="R61" s="38" t="s">
        <v>81</v>
      </c>
      <c r="S61" s="38" t="s">
        <v>102</v>
      </c>
    </row>
    <row r="62" spans="1:20" x14ac:dyDescent="0.3">
      <c r="A62" s="38">
        <v>2019</v>
      </c>
      <c r="B62" s="38" t="s">
        <v>10</v>
      </c>
      <c r="C62" s="38" t="s">
        <v>128</v>
      </c>
      <c r="D62" s="40">
        <v>50</v>
      </c>
      <c r="E62" s="40">
        <v>50</v>
      </c>
      <c r="F62" s="39">
        <v>1.5</v>
      </c>
      <c r="G62" s="39">
        <v>8</v>
      </c>
      <c r="H62" s="113"/>
      <c r="I62" s="113"/>
      <c r="J62" s="113"/>
      <c r="K62" s="113"/>
      <c r="L62" s="39">
        <v>1.5</v>
      </c>
      <c r="M62" s="39">
        <v>2</v>
      </c>
      <c r="N62" s="39">
        <v>0</v>
      </c>
      <c r="O62" s="39">
        <v>0</v>
      </c>
      <c r="P62" s="38">
        <v>2026</v>
      </c>
      <c r="Q62" s="38" t="s">
        <v>79</v>
      </c>
      <c r="R62" s="38" t="s">
        <v>81</v>
      </c>
      <c r="S62" s="38" t="s">
        <v>210</v>
      </c>
      <c r="T62" s="38" t="s">
        <v>121</v>
      </c>
    </row>
    <row r="63" spans="1:20" x14ac:dyDescent="0.3">
      <c r="A63" s="38">
        <v>2016</v>
      </c>
      <c r="B63" s="38" t="s">
        <v>10</v>
      </c>
      <c r="C63" s="38" t="s">
        <v>129</v>
      </c>
      <c r="D63" s="40">
        <v>50</v>
      </c>
      <c r="E63" s="40">
        <v>50</v>
      </c>
      <c r="F63" s="39">
        <v>1.5</v>
      </c>
      <c r="G63" s="39">
        <v>8</v>
      </c>
      <c r="H63" s="113"/>
      <c r="I63" s="113"/>
      <c r="J63" s="113"/>
      <c r="K63" s="113"/>
      <c r="L63" s="39">
        <v>1.5</v>
      </c>
      <c r="M63" s="39">
        <v>2</v>
      </c>
      <c r="N63" s="39">
        <v>0</v>
      </c>
      <c r="O63" s="39">
        <v>0</v>
      </c>
      <c r="P63" s="38">
        <v>2026</v>
      </c>
      <c r="Q63" s="38" t="s">
        <v>79</v>
      </c>
      <c r="R63" s="38" t="s">
        <v>81</v>
      </c>
      <c r="S63" s="38" t="s">
        <v>102</v>
      </c>
    </row>
    <row r="64" spans="1:20" x14ac:dyDescent="0.3">
      <c r="A64" s="38">
        <v>2020</v>
      </c>
      <c r="B64" s="38" t="s">
        <v>10</v>
      </c>
      <c r="C64" s="38" t="s">
        <v>129</v>
      </c>
      <c r="D64" s="40">
        <v>50</v>
      </c>
      <c r="E64" s="40">
        <v>50</v>
      </c>
      <c r="F64" s="39">
        <v>1.5</v>
      </c>
      <c r="G64" s="39">
        <v>8</v>
      </c>
      <c r="H64" s="113"/>
      <c r="I64" s="113"/>
      <c r="J64" s="113"/>
      <c r="K64" s="113"/>
      <c r="L64" s="39">
        <v>1.5</v>
      </c>
      <c r="M64" s="39">
        <v>2</v>
      </c>
      <c r="N64" s="39">
        <v>0</v>
      </c>
      <c r="O64" s="39">
        <v>0</v>
      </c>
      <c r="P64" s="38">
        <v>2026</v>
      </c>
      <c r="Q64" s="38" t="s">
        <v>79</v>
      </c>
      <c r="R64" s="38" t="s">
        <v>81</v>
      </c>
      <c r="S64" s="38" t="s">
        <v>210</v>
      </c>
      <c r="T64" s="38" t="s">
        <v>123</v>
      </c>
    </row>
    <row r="65" spans="1:21" x14ac:dyDescent="0.3">
      <c r="A65" s="38">
        <v>2017</v>
      </c>
      <c r="B65" s="38" t="s">
        <v>10</v>
      </c>
      <c r="C65" s="38" t="s">
        <v>130</v>
      </c>
      <c r="D65" s="40">
        <v>50</v>
      </c>
      <c r="E65" s="40">
        <v>50</v>
      </c>
      <c r="F65" s="39">
        <v>1</v>
      </c>
      <c r="G65" s="39">
        <v>8</v>
      </c>
      <c r="H65" s="113"/>
      <c r="I65" s="113"/>
      <c r="J65" s="39">
        <v>1</v>
      </c>
      <c r="K65" s="39">
        <v>2</v>
      </c>
      <c r="L65" s="39">
        <v>1</v>
      </c>
      <c r="M65" s="39">
        <v>1.5</v>
      </c>
      <c r="N65" s="39">
        <v>0</v>
      </c>
      <c r="O65" s="39">
        <v>0</v>
      </c>
      <c r="P65" s="38">
        <v>2026</v>
      </c>
      <c r="Q65" s="38" t="s">
        <v>79</v>
      </c>
      <c r="R65" s="38" t="s">
        <v>81</v>
      </c>
      <c r="S65" s="38" t="s">
        <v>102</v>
      </c>
    </row>
    <row r="66" spans="1:21" x14ac:dyDescent="0.3">
      <c r="A66" s="38">
        <v>2021</v>
      </c>
      <c r="B66" s="38" t="s">
        <v>10</v>
      </c>
      <c r="C66" s="38" t="s">
        <v>130</v>
      </c>
      <c r="D66" s="40">
        <v>50</v>
      </c>
      <c r="E66" s="40">
        <v>50</v>
      </c>
      <c r="F66" s="39">
        <v>1</v>
      </c>
      <c r="G66" s="39">
        <v>8</v>
      </c>
      <c r="H66" s="113"/>
      <c r="I66" s="113"/>
      <c r="J66" s="39">
        <v>1</v>
      </c>
      <c r="K66" s="39">
        <v>2</v>
      </c>
      <c r="L66" s="39">
        <v>1</v>
      </c>
      <c r="M66" s="39">
        <v>1.5</v>
      </c>
      <c r="N66" s="39">
        <v>0</v>
      </c>
      <c r="O66" s="39">
        <v>0</v>
      </c>
      <c r="P66" s="38">
        <v>2026</v>
      </c>
      <c r="Q66" s="38" t="s">
        <v>79</v>
      </c>
      <c r="R66" s="38" t="s">
        <v>81</v>
      </c>
      <c r="S66" s="38" t="s">
        <v>210</v>
      </c>
      <c r="T66" s="38" t="s">
        <v>124</v>
      </c>
    </row>
    <row r="67" spans="1:21" x14ac:dyDescent="0.3">
      <c r="A67" s="38">
        <v>2018</v>
      </c>
      <c r="B67" s="38" t="s">
        <v>10</v>
      </c>
      <c r="C67" s="38" t="s">
        <v>151</v>
      </c>
      <c r="D67" s="40">
        <v>50</v>
      </c>
      <c r="E67" s="40">
        <v>50</v>
      </c>
      <c r="F67" s="39">
        <v>1</v>
      </c>
      <c r="G67" s="39">
        <v>8</v>
      </c>
      <c r="H67" s="113"/>
      <c r="I67" s="113"/>
      <c r="J67" s="113"/>
      <c r="K67" s="113"/>
      <c r="L67" s="114"/>
      <c r="M67" s="114"/>
      <c r="N67" s="39">
        <v>1</v>
      </c>
      <c r="O67" s="39">
        <v>1.5</v>
      </c>
      <c r="P67" s="38">
        <v>2026</v>
      </c>
      <c r="Q67" s="38" t="s">
        <v>79</v>
      </c>
      <c r="R67" s="38" t="s">
        <v>81</v>
      </c>
      <c r="S67" s="38" t="s">
        <v>102</v>
      </c>
    </row>
    <row r="68" spans="1:21" x14ac:dyDescent="0.3">
      <c r="A68" s="38">
        <v>2022</v>
      </c>
      <c r="B68" s="38" t="s">
        <v>10</v>
      </c>
      <c r="C68" s="38" t="s">
        <v>151</v>
      </c>
      <c r="D68" s="40">
        <v>50</v>
      </c>
      <c r="E68" s="40">
        <v>50</v>
      </c>
      <c r="F68" s="39">
        <v>1</v>
      </c>
      <c r="G68" s="39">
        <v>8</v>
      </c>
      <c r="H68" s="113"/>
      <c r="I68" s="113"/>
      <c r="J68" s="113"/>
      <c r="K68" s="113"/>
      <c r="L68" s="114"/>
      <c r="M68" s="114"/>
      <c r="N68" s="39">
        <v>1</v>
      </c>
      <c r="O68" s="39">
        <v>1.5</v>
      </c>
      <c r="P68" s="38">
        <v>2026</v>
      </c>
      <c r="Q68" s="38" t="s">
        <v>79</v>
      </c>
      <c r="R68" s="38" t="s">
        <v>81</v>
      </c>
      <c r="S68" s="38" t="s">
        <v>210</v>
      </c>
      <c r="T68" s="38" t="s">
        <v>122</v>
      </c>
    </row>
    <row r="69" spans="1:21" x14ac:dyDescent="0.3">
      <c r="A69" s="38">
        <v>1753</v>
      </c>
      <c r="B69" s="38" t="s">
        <v>10</v>
      </c>
      <c r="C69" s="38" t="s">
        <v>199</v>
      </c>
      <c r="D69" s="40">
        <v>50</v>
      </c>
      <c r="E69" s="40">
        <v>50</v>
      </c>
      <c r="F69" s="39">
        <v>1</v>
      </c>
      <c r="G69" s="39">
        <v>8</v>
      </c>
      <c r="H69" s="39">
        <v>2</v>
      </c>
      <c r="I69" s="39">
        <v>7</v>
      </c>
      <c r="J69" s="39">
        <v>2</v>
      </c>
      <c r="K69" s="39">
        <v>4</v>
      </c>
      <c r="L69" s="39">
        <v>2</v>
      </c>
      <c r="M69" s="39">
        <v>2.5</v>
      </c>
      <c r="N69" s="39">
        <v>0</v>
      </c>
      <c r="O69" s="39">
        <v>0</v>
      </c>
      <c r="P69" s="38">
        <v>2026</v>
      </c>
      <c r="Q69" s="38" t="s">
        <v>79</v>
      </c>
      <c r="R69" s="38" t="s">
        <v>81</v>
      </c>
      <c r="S69" s="38" t="s">
        <v>198</v>
      </c>
      <c r="T69" s="38" t="s">
        <v>121</v>
      </c>
    </row>
    <row r="70" spans="1:21" x14ac:dyDescent="0.3">
      <c r="A70" s="38">
        <v>1753</v>
      </c>
      <c r="B70" s="38" t="s">
        <v>10</v>
      </c>
      <c r="C70" s="38" t="s">
        <v>199</v>
      </c>
      <c r="D70" s="40">
        <v>50</v>
      </c>
      <c r="E70" s="40">
        <v>50</v>
      </c>
      <c r="F70" s="39">
        <v>1</v>
      </c>
      <c r="G70" s="39">
        <v>8</v>
      </c>
      <c r="H70" s="113"/>
      <c r="I70" s="113"/>
      <c r="J70" s="113"/>
      <c r="K70" s="113"/>
      <c r="L70" s="39">
        <v>1.5</v>
      </c>
      <c r="M70" s="39">
        <v>2</v>
      </c>
      <c r="N70" s="39">
        <v>0</v>
      </c>
      <c r="O70" s="39">
        <v>0</v>
      </c>
      <c r="P70" s="38">
        <v>2026</v>
      </c>
      <c r="Q70" s="38" t="s">
        <v>79</v>
      </c>
      <c r="R70" s="38" t="s">
        <v>81</v>
      </c>
      <c r="S70" s="38" t="s">
        <v>198</v>
      </c>
      <c r="T70" s="38" t="s">
        <v>128</v>
      </c>
    </row>
    <row r="71" spans="1:21" x14ac:dyDescent="0.3">
      <c r="A71" s="38">
        <v>1754</v>
      </c>
      <c r="B71" s="38" t="s">
        <v>10</v>
      </c>
      <c r="C71" s="38" t="s">
        <v>201</v>
      </c>
      <c r="D71" s="40">
        <v>50</v>
      </c>
      <c r="E71" s="40">
        <v>50</v>
      </c>
      <c r="F71" s="39">
        <v>1</v>
      </c>
      <c r="G71" s="39">
        <v>8</v>
      </c>
      <c r="H71" s="39">
        <v>2</v>
      </c>
      <c r="I71" s="39">
        <v>8</v>
      </c>
      <c r="J71" s="39">
        <v>2</v>
      </c>
      <c r="K71" s="39">
        <v>4</v>
      </c>
      <c r="L71" s="39">
        <v>2</v>
      </c>
      <c r="M71" s="39">
        <v>3</v>
      </c>
      <c r="N71" s="39">
        <v>0</v>
      </c>
      <c r="O71" s="39">
        <v>0</v>
      </c>
      <c r="P71" s="38">
        <v>2026</v>
      </c>
      <c r="Q71" s="38" t="s">
        <v>79</v>
      </c>
      <c r="R71" s="38" t="s">
        <v>81</v>
      </c>
      <c r="S71" s="38" t="s">
        <v>198</v>
      </c>
      <c r="T71" s="38" t="s">
        <v>123</v>
      </c>
    </row>
    <row r="72" spans="1:21" x14ac:dyDescent="0.3">
      <c r="A72" s="38">
        <v>1754</v>
      </c>
      <c r="B72" s="38" t="s">
        <v>10</v>
      </c>
      <c r="C72" s="38" t="s">
        <v>201</v>
      </c>
      <c r="D72" s="40">
        <v>50</v>
      </c>
      <c r="E72" s="40">
        <v>50</v>
      </c>
      <c r="F72" s="39">
        <v>1</v>
      </c>
      <c r="G72" s="39">
        <v>8</v>
      </c>
      <c r="H72" s="113"/>
      <c r="I72" s="113"/>
      <c r="J72" s="113"/>
      <c r="K72" s="113"/>
      <c r="L72" s="39">
        <v>1.5</v>
      </c>
      <c r="M72" s="39">
        <v>2</v>
      </c>
      <c r="N72" s="39">
        <v>0</v>
      </c>
      <c r="O72" s="39">
        <v>0</v>
      </c>
      <c r="P72" s="38">
        <v>2026</v>
      </c>
      <c r="Q72" s="38" t="s">
        <v>79</v>
      </c>
      <c r="R72" s="38" t="s">
        <v>81</v>
      </c>
      <c r="S72" s="38" t="s">
        <v>198</v>
      </c>
      <c r="T72" s="38" t="s">
        <v>129</v>
      </c>
    </row>
    <row r="73" spans="1:21" x14ac:dyDescent="0.3">
      <c r="A73" s="38">
        <v>1755</v>
      </c>
      <c r="B73" s="38" t="s">
        <v>10</v>
      </c>
      <c r="C73" s="38" t="s">
        <v>202</v>
      </c>
      <c r="D73" s="40">
        <v>50</v>
      </c>
      <c r="E73" s="40">
        <v>50</v>
      </c>
      <c r="F73" s="39">
        <v>1</v>
      </c>
      <c r="G73" s="39">
        <v>8</v>
      </c>
      <c r="H73" s="39">
        <v>2</v>
      </c>
      <c r="I73" s="39">
        <v>8</v>
      </c>
      <c r="J73" s="39">
        <v>2</v>
      </c>
      <c r="K73" s="39">
        <v>6</v>
      </c>
      <c r="L73" s="39">
        <v>2</v>
      </c>
      <c r="M73" s="39">
        <v>3</v>
      </c>
      <c r="N73" s="39">
        <v>0</v>
      </c>
      <c r="O73" s="39">
        <v>0</v>
      </c>
      <c r="P73" s="38">
        <v>2026</v>
      </c>
      <c r="Q73" s="38" t="s">
        <v>79</v>
      </c>
      <c r="R73" s="38" t="s">
        <v>81</v>
      </c>
      <c r="S73" s="38" t="s">
        <v>198</v>
      </c>
      <c r="T73" s="38" t="s">
        <v>124</v>
      </c>
    </row>
    <row r="74" spans="1:21" x14ac:dyDescent="0.3">
      <c r="A74" s="38">
        <v>1755</v>
      </c>
      <c r="B74" s="38" t="s">
        <v>10</v>
      </c>
      <c r="C74" s="38" t="s">
        <v>202</v>
      </c>
      <c r="D74" s="40">
        <v>50</v>
      </c>
      <c r="E74" s="40">
        <v>50</v>
      </c>
      <c r="F74" s="39">
        <v>1</v>
      </c>
      <c r="G74" s="39">
        <v>8</v>
      </c>
      <c r="H74" s="113"/>
      <c r="I74" s="113"/>
      <c r="J74" s="39">
        <v>1</v>
      </c>
      <c r="K74" s="39">
        <v>2</v>
      </c>
      <c r="L74" s="39">
        <v>1</v>
      </c>
      <c r="M74" s="39">
        <v>1.5</v>
      </c>
      <c r="N74" s="39">
        <v>0</v>
      </c>
      <c r="O74" s="39">
        <v>0</v>
      </c>
      <c r="P74" s="38">
        <v>2026</v>
      </c>
      <c r="Q74" s="38" t="s">
        <v>79</v>
      </c>
      <c r="R74" s="38" t="s">
        <v>81</v>
      </c>
      <c r="S74" s="38" t="s">
        <v>198</v>
      </c>
      <c r="T74" s="38" t="s">
        <v>130</v>
      </c>
    </row>
    <row r="75" spans="1:21" x14ac:dyDescent="0.3">
      <c r="A75" s="38">
        <v>2000</v>
      </c>
      <c r="B75" s="38" t="s">
        <v>10</v>
      </c>
      <c r="C75" s="38" t="s">
        <v>213</v>
      </c>
      <c r="D75" s="40">
        <v>50</v>
      </c>
      <c r="E75" s="40">
        <v>50</v>
      </c>
      <c r="F75" s="39">
        <v>1</v>
      </c>
      <c r="G75" s="39">
        <v>8</v>
      </c>
      <c r="H75" s="39">
        <v>2</v>
      </c>
      <c r="I75" s="39">
        <v>5</v>
      </c>
      <c r="J75" s="39">
        <v>2</v>
      </c>
      <c r="K75" s="39">
        <v>3</v>
      </c>
      <c r="L75" s="39">
        <v>2</v>
      </c>
      <c r="M75" s="39">
        <v>3</v>
      </c>
      <c r="N75" s="39">
        <v>0</v>
      </c>
      <c r="O75" s="39">
        <v>0</v>
      </c>
      <c r="P75" s="38">
        <v>2026</v>
      </c>
      <c r="Q75" s="38" t="s">
        <v>79</v>
      </c>
      <c r="R75" s="38" t="s">
        <v>81</v>
      </c>
      <c r="S75" s="38" t="s">
        <v>198</v>
      </c>
      <c r="T75" s="38" t="s">
        <v>122</v>
      </c>
    </row>
    <row r="76" spans="1:21" x14ac:dyDescent="0.3">
      <c r="A76" s="38">
        <v>2000</v>
      </c>
      <c r="B76" s="38" t="s">
        <v>10</v>
      </c>
      <c r="C76" s="38" t="s">
        <v>213</v>
      </c>
      <c r="D76" s="40">
        <v>50</v>
      </c>
      <c r="E76" s="40">
        <v>50</v>
      </c>
      <c r="F76" s="39">
        <v>1</v>
      </c>
      <c r="G76" s="39">
        <v>8</v>
      </c>
      <c r="H76" s="113"/>
      <c r="I76" s="113"/>
      <c r="J76" s="113"/>
      <c r="K76" s="113"/>
      <c r="L76" s="114"/>
      <c r="M76" s="114"/>
      <c r="N76" s="39">
        <v>1</v>
      </c>
      <c r="O76" s="39">
        <v>1.5</v>
      </c>
      <c r="P76" s="38">
        <v>2026</v>
      </c>
      <c r="Q76" s="38" t="s">
        <v>79</v>
      </c>
      <c r="R76" s="38" t="s">
        <v>81</v>
      </c>
      <c r="S76" s="38" t="s">
        <v>198</v>
      </c>
      <c r="T76" s="38" t="s">
        <v>151</v>
      </c>
    </row>
    <row r="77" spans="1:21" x14ac:dyDescent="0.3">
      <c r="A77" s="38">
        <v>2087</v>
      </c>
      <c r="B77" s="38" t="s">
        <v>10</v>
      </c>
      <c r="C77" s="38" t="s">
        <v>214</v>
      </c>
      <c r="D77" s="40">
        <v>50</v>
      </c>
      <c r="E77" s="40">
        <v>50</v>
      </c>
      <c r="F77" s="39">
        <v>2</v>
      </c>
      <c r="G77" s="39">
        <v>8</v>
      </c>
      <c r="H77" s="39">
        <v>2</v>
      </c>
      <c r="I77" s="39">
        <v>8</v>
      </c>
      <c r="J77" s="39">
        <v>2</v>
      </c>
      <c r="K77" s="39">
        <v>8</v>
      </c>
      <c r="L77" s="39">
        <v>2</v>
      </c>
      <c r="M77" s="39">
        <v>6</v>
      </c>
      <c r="N77" s="39">
        <v>0</v>
      </c>
      <c r="O77" s="39">
        <v>0</v>
      </c>
      <c r="P77" s="38">
        <v>2023</v>
      </c>
      <c r="Q77" s="38" t="s">
        <v>79</v>
      </c>
      <c r="R77" s="38" t="s">
        <v>81</v>
      </c>
      <c r="S77" s="38" t="s">
        <v>198</v>
      </c>
      <c r="T77" s="38" t="s">
        <v>141</v>
      </c>
    </row>
    <row r="78" spans="1:21" x14ac:dyDescent="0.3">
      <c r="A78" s="38">
        <v>2291</v>
      </c>
      <c r="B78" s="38" t="s">
        <v>31</v>
      </c>
      <c r="C78" s="38" t="s">
        <v>48</v>
      </c>
      <c r="D78" s="40">
        <v>25</v>
      </c>
      <c r="E78" s="40">
        <v>40</v>
      </c>
      <c r="F78" s="39">
        <v>1.5</v>
      </c>
      <c r="G78" s="39">
        <v>8</v>
      </c>
      <c r="H78" s="39">
        <v>1.5</v>
      </c>
      <c r="I78" s="39">
        <v>3</v>
      </c>
      <c r="J78" s="39">
        <v>1.5</v>
      </c>
      <c r="K78" s="39">
        <v>3</v>
      </c>
      <c r="L78" s="39">
        <v>1.5</v>
      </c>
      <c r="M78" s="39">
        <v>2</v>
      </c>
      <c r="N78" s="39">
        <v>1.5</v>
      </c>
      <c r="O78" s="39">
        <v>1.6</v>
      </c>
      <c r="P78" s="38">
        <v>2027</v>
      </c>
      <c r="Q78" s="38" t="s">
        <v>78</v>
      </c>
      <c r="R78" s="38" t="s">
        <v>81</v>
      </c>
      <c r="S78" s="38" t="s">
        <v>103</v>
      </c>
      <c r="U78" s="38" t="s">
        <v>243</v>
      </c>
    </row>
    <row r="79" spans="1:21" x14ac:dyDescent="0.3">
      <c r="A79" s="38">
        <v>2290</v>
      </c>
      <c r="B79" s="38" t="s">
        <v>31</v>
      </c>
      <c r="C79" s="38" t="s">
        <v>47</v>
      </c>
      <c r="D79" s="40">
        <v>25</v>
      </c>
      <c r="E79" s="40">
        <v>40</v>
      </c>
      <c r="F79" s="39">
        <v>1.5</v>
      </c>
      <c r="G79" s="39">
        <v>8</v>
      </c>
      <c r="H79" s="39">
        <v>1.5</v>
      </c>
      <c r="I79" s="39">
        <v>3</v>
      </c>
      <c r="J79" s="39">
        <v>1.5</v>
      </c>
      <c r="K79" s="39">
        <v>3</v>
      </c>
      <c r="L79" s="39">
        <v>1.5</v>
      </c>
      <c r="M79" s="39">
        <v>3</v>
      </c>
      <c r="N79" s="39">
        <v>1.5</v>
      </c>
      <c r="O79" s="39">
        <v>1.6</v>
      </c>
      <c r="P79" s="38">
        <v>2027</v>
      </c>
      <c r="Q79" s="38" t="s">
        <v>78</v>
      </c>
      <c r="R79" s="38" t="s">
        <v>81</v>
      </c>
      <c r="S79" s="38" t="s">
        <v>103</v>
      </c>
      <c r="U79" s="38" t="s">
        <v>244</v>
      </c>
    </row>
    <row r="80" spans="1:21" x14ac:dyDescent="0.3">
      <c r="A80" s="38">
        <v>1981</v>
      </c>
      <c r="B80" s="38" t="s">
        <v>10</v>
      </c>
      <c r="C80" s="38" t="s">
        <v>127</v>
      </c>
      <c r="D80" s="40">
        <v>50</v>
      </c>
      <c r="E80" s="40">
        <v>50</v>
      </c>
      <c r="F80" s="39">
        <v>1.5</v>
      </c>
      <c r="G80" s="39">
        <v>8</v>
      </c>
      <c r="H80" s="39">
        <v>1.5</v>
      </c>
      <c r="I80" s="39">
        <v>8</v>
      </c>
      <c r="J80" s="39">
        <v>1.5</v>
      </c>
      <c r="K80" s="39">
        <v>8</v>
      </c>
      <c r="L80" s="39">
        <v>1.5</v>
      </c>
      <c r="M80" s="39">
        <v>6</v>
      </c>
      <c r="N80" s="39">
        <v>1.5</v>
      </c>
      <c r="O80" s="39">
        <v>5</v>
      </c>
      <c r="P80" s="38">
        <v>2023</v>
      </c>
      <c r="Q80" s="38" t="s">
        <v>197</v>
      </c>
      <c r="R80" s="38" t="s">
        <v>81</v>
      </c>
      <c r="S80" s="38" t="s">
        <v>119</v>
      </c>
    </row>
    <row r="81" spans="1:21" x14ac:dyDescent="0.3">
      <c r="A81" s="38">
        <v>2128</v>
      </c>
      <c r="B81" s="38" t="s">
        <v>16</v>
      </c>
      <c r="C81" s="38" t="s">
        <v>145</v>
      </c>
      <c r="D81" s="40">
        <v>50</v>
      </c>
      <c r="E81" s="40">
        <v>50</v>
      </c>
      <c r="F81" s="39">
        <v>1.5</v>
      </c>
      <c r="G81" s="39">
        <v>6</v>
      </c>
      <c r="H81" s="39">
        <v>1.5</v>
      </c>
      <c r="I81" s="39">
        <v>5</v>
      </c>
      <c r="J81" s="39">
        <v>1.5</v>
      </c>
      <c r="K81" s="39">
        <v>3</v>
      </c>
      <c r="L81" s="39">
        <v>1.5</v>
      </c>
      <c r="M81" s="39">
        <v>1.5</v>
      </c>
      <c r="N81" s="39">
        <v>0</v>
      </c>
      <c r="O81" s="39">
        <v>0</v>
      </c>
      <c r="P81" s="38">
        <v>2024</v>
      </c>
      <c r="Q81" s="38" t="s">
        <v>78</v>
      </c>
      <c r="R81" s="38" t="s">
        <v>81</v>
      </c>
      <c r="S81" s="38" t="s">
        <v>102</v>
      </c>
    </row>
    <row r="82" spans="1:21" x14ac:dyDescent="0.3">
      <c r="A82" s="38">
        <v>2129</v>
      </c>
      <c r="B82" s="38" t="s">
        <v>16</v>
      </c>
      <c r="C82" s="38" t="s">
        <v>144</v>
      </c>
      <c r="D82" s="40">
        <v>50</v>
      </c>
      <c r="E82" s="40">
        <v>50</v>
      </c>
      <c r="F82" s="39">
        <v>1.5</v>
      </c>
      <c r="G82" s="39">
        <v>6</v>
      </c>
      <c r="H82" s="39">
        <v>1.5</v>
      </c>
      <c r="I82" s="39">
        <v>3</v>
      </c>
      <c r="J82" s="39">
        <v>1.5</v>
      </c>
      <c r="K82" s="39">
        <v>2</v>
      </c>
      <c r="L82" s="39">
        <v>1.5</v>
      </c>
      <c r="M82" s="39">
        <v>1.5</v>
      </c>
      <c r="N82" s="39">
        <v>0</v>
      </c>
      <c r="O82" s="39">
        <v>0</v>
      </c>
      <c r="P82" s="38">
        <v>2024</v>
      </c>
      <c r="Q82" s="38" t="s">
        <v>78</v>
      </c>
      <c r="R82" s="38" t="s">
        <v>81</v>
      </c>
      <c r="S82" s="38" t="s">
        <v>102</v>
      </c>
    </row>
    <row r="83" spans="1:21" x14ac:dyDescent="0.3">
      <c r="A83" s="38">
        <v>1907</v>
      </c>
      <c r="B83" s="38" t="s">
        <v>16</v>
      </c>
      <c r="C83" s="38" t="s">
        <v>109</v>
      </c>
      <c r="D83" s="40">
        <v>50</v>
      </c>
      <c r="E83" s="40">
        <v>50</v>
      </c>
      <c r="F83" s="39">
        <v>1</v>
      </c>
      <c r="G83" s="39">
        <v>6</v>
      </c>
      <c r="H83" s="39">
        <v>1</v>
      </c>
      <c r="I83" s="39">
        <v>4</v>
      </c>
      <c r="J83" s="39">
        <v>1</v>
      </c>
      <c r="K83" s="39">
        <v>2</v>
      </c>
      <c r="L83" s="39">
        <v>1</v>
      </c>
      <c r="M83" s="39">
        <v>1.5</v>
      </c>
      <c r="N83" s="39">
        <v>0</v>
      </c>
      <c r="O83" s="39">
        <v>0</v>
      </c>
      <c r="P83" s="38">
        <v>2024</v>
      </c>
      <c r="Q83" s="38" t="s">
        <v>78</v>
      </c>
      <c r="R83" s="38" t="s">
        <v>81</v>
      </c>
      <c r="S83" s="38" t="s">
        <v>102</v>
      </c>
    </row>
    <row r="84" spans="1:21" x14ac:dyDescent="0.3">
      <c r="A84" s="38">
        <v>1908</v>
      </c>
      <c r="B84" s="38" t="s">
        <v>16</v>
      </c>
      <c r="C84" s="38" t="s">
        <v>110</v>
      </c>
      <c r="D84" s="40">
        <v>50</v>
      </c>
      <c r="E84" s="40">
        <v>50</v>
      </c>
      <c r="F84" s="39">
        <v>1</v>
      </c>
      <c r="G84" s="39">
        <v>6</v>
      </c>
      <c r="H84" s="39">
        <v>1</v>
      </c>
      <c r="I84" s="39">
        <v>2</v>
      </c>
      <c r="J84" s="39">
        <v>1</v>
      </c>
      <c r="K84" s="39">
        <v>1.5</v>
      </c>
      <c r="L84" s="39">
        <v>1</v>
      </c>
      <c r="M84" s="39">
        <v>1</v>
      </c>
      <c r="N84" s="39">
        <v>0</v>
      </c>
      <c r="O84" s="39">
        <v>0</v>
      </c>
      <c r="P84" s="38">
        <v>2023</v>
      </c>
      <c r="Q84" s="38" t="s">
        <v>78</v>
      </c>
      <c r="R84" s="38" t="s">
        <v>81</v>
      </c>
      <c r="S84" s="38" t="s">
        <v>102</v>
      </c>
    </row>
    <row r="85" spans="1:21" x14ac:dyDescent="0.3">
      <c r="A85" s="38">
        <v>1909</v>
      </c>
      <c r="B85" s="38" t="s">
        <v>16</v>
      </c>
      <c r="C85" s="38" t="s">
        <v>111</v>
      </c>
      <c r="D85" s="40">
        <v>50</v>
      </c>
      <c r="E85" s="40">
        <v>50</v>
      </c>
      <c r="F85" s="39">
        <v>1</v>
      </c>
      <c r="G85" s="39">
        <v>6</v>
      </c>
      <c r="H85" s="39">
        <v>1</v>
      </c>
      <c r="I85" s="39">
        <v>3</v>
      </c>
      <c r="J85" s="39">
        <v>1</v>
      </c>
      <c r="K85" s="39">
        <v>1.5</v>
      </c>
      <c r="L85" s="39">
        <v>1</v>
      </c>
      <c r="M85" s="39">
        <v>1</v>
      </c>
      <c r="N85" s="39">
        <v>0</v>
      </c>
      <c r="O85" s="39">
        <v>0</v>
      </c>
      <c r="P85" s="38">
        <v>2023</v>
      </c>
      <c r="Q85" s="38" t="s">
        <v>78</v>
      </c>
      <c r="R85" s="38" t="s">
        <v>81</v>
      </c>
      <c r="S85" s="38" t="s">
        <v>102</v>
      </c>
    </row>
    <row r="86" spans="1:21" x14ac:dyDescent="0.3">
      <c r="A86" s="38">
        <v>1783</v>
      </c>
      <c r="B86" s="38" t="s">
        <v>16</v>
      </c>
      <c r="C86" s="38" t="s">
        <v>97</v>
      </c>
      <c r="D86" s="40">
        <v>50</v>
      </c>
      <c r="E86" s="40">
        <v>50</v>
      </c>
      <c r="F86" s="39">
        <v>1</v>
      </c>
      <c r="G86" s="39">
        <v>6</v>
      </c>
      <c r="H86" s="39">
        <v>1</v>
      </c>
      <c r="I86" s="39">
        <v>3</v>
      </c>
      <c r="J86" s="39">
        <v>1</v>
      </c>
      <c r="K86" s="39">
        <v>1</v>
      </c>
      <c r="L86" s="39">
        <v>1</v>
      </c>
      <c r="M86" s="39">
        <v>1</v>
      </c>
      <c r="N86" s="39">
        <v>0</v>
      </c>
      <c r="O86" s="39">
        <v>0</v>
      </c>
      <c r="P86" s="38">
        <v>2022</v>
      </c>
      <c r="Q86" s="38" t="s">
        <v>78</v>
      </c>
      <c r="R86" s="38" t="s">
        <v>81</v>
      </c>
      <c r="S86" s="38" t="s">
        <v>103</v>
      </c>
    </row>
    <row r="87" spans="1:21" x14ac:dyDescent="0.3">
      <c r="A87" s="38">
        <v>1784</v>
      </c>
      <c r="B87" s="38" t="s">
        <v>16</v>
      </c>
      <c r="C87" s="38" t="s">
        <v>85</v>
      </c>
      <c r="D87" s="40">
        <v>50</v>
      </c>
      <c r="E87" s="40">
        <v>50</v>
      </c>
      <c r="F87" s="39">
        <v>1</v>
      </c>
      <c r="G87" s="39">
        <v>6</v>
      </c>
      <c r="H87" s="39">
        <v>1</v>
      </c>
      <c r="I87" s="39">
        <v>6</v>
      </c>
      <c r="J87" s="39">
        <v>1</v>
      </c>
      <c r="K87" s="39">
        <v>1.5</v>
      </c>
      <c r="L87" s="39">
        <v>1</v>
      </c>
      <c r="M87" s="39">
        <v>1</v>
      </c>
      <c r="N87" s="39">
        <v>0</v>
      </c>
      <c r="O87" s="39">
        <v>0</v>
      </c>
      <c r="P87" s="38">
        <v>2023</v>
      </c>
      <c r="Q87" s="38" t="s">
        <v>78</v>
      </c>
      <c r="R87" s="38" t="s">
        <v>81</v>
      </c>
      <c r="S87" s="38" t="s">
        <v>103</v>
      </c>
    </row>
    <row r="88" spans="1:21" x14ac:dyDescent="0.3">
      <c r="A88" s="38">
        <v>2190</v>
      </c>
      <c r="B88" s="38" t="s">
        <v>16</v>
      </c>
      <c r="C88" s="38" t="s">
        <v>33</v>
      </c>
      <c r="D88" s="40">
        <v>50</v>
      </c>
      <c r="E88" s="40">
        <v>50</v>
      </c>
      <c r="F88" s="39">
        <v>1</v>
      </c>
      <c r="G88" s="39">
        <v>6</v>
      </c>
      <c r="H88" s="39">
        <v>1</v>
      </c>
      <c r="I88" s="39">
        <v>6</v>
      </c>
      <c r="J88" s="39">
        <v>1</v>
      </c>
      <c r="K88" s="39">
        <v>2</v>
      </c>
      <c r="L88" s="39">
        <v>1</v>
      </c>
      <c r="M88" s="39">
        <v>1</v>
      </c>
      <c r="N88" s="39">
        <v>0</v>
      </c>
      <c r="O88" s="39">
        <v>0</v>
      </c>
      <c r="P88" s="38">
        <v>2025</v>
      </c>
      <c r="Q88" s="38" t="s">
        <v>78</v>
      </c>
      <c r="R88" s="38" t="s">
        <v>81</v>
      </c>
      <c r="S88" s="38" t="s">
        <v>103</v>
      </c>
    </row>
    <row r="89" spans="1:21" x14ac:dyDescent="0.3">
      <c r="A89" s="38">
        <v>2234</v>
      </c>
      <c r="B89" s="38" t="s">
        <v>16</v>
      </c>
      <c r="C89" s="38" t="s">
        <v>42</v>
      </c>
      <c r="D89" s="40">
        <v>50</v>
      </c>
      <c r="E89" s="40">
        <v>50</v>
      </c>
      <c r="F89" s="39">
        <v>1</v>
      </c>
      <c r="G89" s="39">
        <v>6</v>
      </c>
      <c r="H89" s="39">
        <v>1</v>
      </c>
      <c r="I89" s="39">
        <v>6</v>
      </c>
      <c r="J89" s="39">
        <v>1</v>
      </c>
      <c r="K89" s="39">
        <v>2</v>
      </c>
      <c r="L89" s="39">
        <v>1</v>
      </c>
      <c r="M89" s="39">
        <v>1</v>
      </c>
      <c r="N89" s="39">
        <v>0</v>
      </c>
      <c r="O89" s="39">
        <v>0</v>
      </c>
      <c r="P89" s="38">
        <v>2026</v>
      </c>
      <c r="Q89" s="38" t="s">
        <v>78</v>
      </c>
      <c r="R89" s="38" t="s">
        <v>81</v>
      </c>
      <c r="S89" s="38" t="s">
        <v>103</v>
      </c>
    </row>
    <row r="90" spans="1:21" x14ac:dyDescent="0.3">
      <c r="A90" s="38">
        <v>2217</v>
      </c>
      <c r="B90" s="38" t="s">
        <v>10</v>
      </c>
      <c r="C90" s="38" t="s">
        <v>148</v>
      </c>
      <c r="D90" s="40">
        <v>50</v>
      </c>
      <c r="E90" s="40">
        <v>50</v>
      </c>
      <c r="F90" s="39">
        <v>1.5</v>
      </c>
      <c r="G90" s="39">
        <v>8</v>
      </c>
      <c r="H90" s="113"/>
      <c r="I90" s="113"/>
      <c r="J90" s="113"/>
      <c r="K90" s="113"/>
      <c r="L90" s="39">
        <v>1.5</v>
      </c>
      <c r="M90" s="39">
        <v>2</v>
      </c>
      <c r="N90" s="39">
        <v>0</v>
      </c>
      <c r="O90" s="39">
        <v>0</v>
      </c>
      <c r="P90" s="38">
        <v>2026</v>
      </c>
      <c r="Q90" s="38" t="s">
        <v>79</v>
      </c>
      <c r="R90" s="38" t="s">
        <v>81</v>
      </c>
      <c r="S90" s="38" t="s">
        <v>102</v>
      </c>
      <c r="U90" s="38" t="s">
        <v>222</v>
      </c>
    </row>
    <row r="91" spans="1:21" x14ac:dyDescent="0.3">
      <c r="A91" s="38">
        <v>2018</v>
      </c>
      <c r="B91" s="38" t="s">
        <v>10</v>
      </c>
      <c r="C91" s="38" t="s">
        <v>149</v>
      </c>
      <c r="D91" s="40">
        <v>50</v>
      </c>
      <c r="E91" s="40">
        <v>50</v>
      </c>
      <c r="F91" s="39">
        <v>1.5</v>
      </c>
      <c r="G91" s="39">
        <v>8</v>
      </c>
      <c r="H91" s="113"/>
      <c r="I91" s="113"/>
      <c r="J91" s="113"/>
      <c r="K91" s="113"/>
      <c r="L91" s="39">
        <v>1.5</v>
      </c>
      <c r="M91" s="39">
        <v>2</v>
      </c>
      <c r="N91" s="39">
        <v>0</v>
      </c>
      <c r="O91" s="39">
        <v>0</v>
      </c>
      <c r="P91" s="38">
        <v>2026</v>
      </c>
      <c r="Q91" s="38" t="s">
        <v>79</v>
      </c>
      <c r="R91" s="38" t="s">
        <v>81</v>
      </c>
      <c r="S91" s="38" t="s">
        <v>102</v>
      </c>
      <c r="U91" s="38" t="s">
        <v>222</v>
      </c>
    </row>
    <row r="92" spans="1:21" x14ac:dyDescent="0.3">
      <c r="A92" s="38">
        <v>2019</v>
      </c>
      <c r="B92" s="38" t="s">
        <v>10</v>
      </c>
      <c r="C92" s="38" t="s">
        <v>150</v>
      </c>
      <c r="D92" s="40">
        <v>50</v>
      </c>
      <c r="E92" s="40">
        <v>50</v>
      </c>
      <c r="F92" s="39">
        <v>1</v>
      </c>
      <c r="G92" s="39">
        <v>8</v>
      </c>
      <c r="H92" s="113"/>
      <c r="I92" s="113"/>
      <c r="J92" s="39">
        <v>1</v>
      </c>
      <c r="K92" s="39">
        <v>2</v>
      </c>
      <c r="L92" s="39">
        <v>1</v>
      </c>
      <c r="M92" s="39">
        <v>1.5</v>
      </c>
      <c r="N92" s="39">
        <v>0</v>
      </c>
      <c r="O92" s="39">
        <v>0</v>
      </c>
      <c r="P92" s="38">
        <v>2026</v>
      </c>
      <c r="Q92" s="38" t="s">
        <v>79</v>
      </c>
      <c r="R92" s="38" t="s">
        <v>81</v>
      </c>
      <c r="S92" s="38" t="s">
        <v>102</v>
      </c>
      <c r="U92" s="38" t="s">
        <v>222</v>
      </c>
    </row>
    <row r="93" spans="1:21" x14ac:dyDescent="0.3">
      <c r="A93" s="38">
        <v>2020</v>
      </c>
      <c r="B93" s="38" t="s">
        <v>31</v>
      </c>
      <c r="C93" s="38" t="s">
        <v>152</v>
      </c>
      <c r="D93" s="40">
        <v>50</v>
      </c>
      <c r="E93" s="40">
        <v>50</v>
      </c>
      <c r="F93" s="39">
        <v>1</v>
      </c>
      <c r="G93" s="39">
        <v>8</v>
      </c>
      <c r="H93" s="113"/>
      <c r="I93" s="113"/>
      <c r="J93" s="113"/>
      <c r="K93" s="113"/>
      <c r="L93" s="114"/>
      <c r="M93" s="114"/>
      <c r="N93" s="39">
        <v>1</v>
      </c>
      <c r="O93" s="39">
        <v>1.5</v>
      </c>
      <c r="P93" s="38">
        <v>2026</v>
      </c>
      <c r="Q93" s="38" t="s">
        <v>79</v>
      </c>
      <c r="R93" s="38" t="s">
        <v>81</v>
      </c>
      <c r="S93" s="38" t="s">
        <v>102</v>
      </c>
      <c r="U93" s="38" t="s">
        <v>222</v>
      </c>
    </row>
    <row r="94" spans="1:21" x14ac:dyDescent="0.3">
      <c r="A94" s="38">
        <v>2212</v>
      </c>
      <c r="B94" s="38" t="s">
        <v>10</v>
      </c>
      <c r="C94" s="38" t="s">
        <v>40</v>
      </c>
      <c r="D94" s="40">
        <v>50</v>
      </c>
      <c r="E94" s="40">
        <v>50</v>
      </c>
      <c r="F94" s="39">
        <v>1</v>
      </c>
      <c r="G94" s="39">
        <v>6</v>
      </c>
      <c r="H94" s="39">
        <v>1</v>
      </c>
      <c r="I94" s="39">
        <v>3</v>
      </c>
      <c r="J94" s="39">
        <v>1</v>
      </c>
      <c r="K94" s="39">
        <v>1.5</v>
      </c>
      <c r="L94" s="39">
        <v>1</v>
      </c>
      <c r="M94" s="39">
        <v>1</v>
      </c>
      <c r="N94" s="39">
        <v>0</v>
      </c>
      <c r="O94" s="39">
        <v>0</v>
      </c>
      <c r="P94" s="38">
        <v>2026</v>
      </c>
      <c r="Q94" s="38" t="s">
        <v>78</v>
      </c>
      <c r="R94" s="38" t="s">
        <v>81</v>
      </c>
      <c r="S94" s="38" t="s">
        <v>102</v>
      </c>
      <c r="U94" s="38" t="s">
        <v>215</v>
      </c>
    </row>
    <row r="95" spans="1:21" x14ac:dyDescent="0.3">
      <c r="A95" s="38">
        <v>2213</v>
      </c>
      <c r="B95" s="38" t="s">
        <v>10</v>
      </c>
      <c r="C95" s="38" t="s">
        <v>41</v>
      </c>
      <c r="D95" s="40">
        <v>50</v>
      </c>
      <c r="E95" s="40">
        <v>50</v>
      </c>
      <c r="F95" s="39">
        <v>1</v>
      </c>
      <c r="G95" s="39">
        <v>6</v>
      </c>
      <c r="H95" s="39">
        <v>1</v>
      </c>
      <c r="I95" s="39">
        <v>4</v>
      </c>
      <c r="J95" s="39">
        <v>1</v>
      </c>
      <c r="K95" s="39">
        <v>1.5</v>
      </c>
      <c r="L95" s="39">
        <v>1</v>
      </c>
      <c r="M95" s="39">
        <v>1</v>
      </c>
      <c r="N95" s="39">
        <v>0</v>
      </c>
      <c r="O95" s="39">
        <v>0</v>
      </c>
      <c r="P95" s="38">
        <v>2026</v>
      </c>
      <c r="Q95" s="38" t="s">
        <v>78</v>
      </c>
      <c r="R95" s="38" t="s">
        <v>81</v>
      </c>
      <c r="S95" s="38" t="s">
        <v>102</v>
      </c>
      <c r="U95" s="38" t="s">
        <v>215</v>
      </c>
    </row>
    <row r="96" spans="1:21" x14ac:dyDescent="0.3">
      <c r="A96" s="38">
        <v>2209</v>
      </c>
      <c r="B96" s="38" t="s">
        <v>10</v>
      </c>
      <c r="C96" s="38" t="s">
        <v>147</v>
      </c>
      <c r="D96" s="40">
        <v>50</v>
      </c>
      <c r="E96" s="40" t="s">
        <v>75</v>
      </c>
      <c r="F96" s="39">
        <v>1.5</v>
      </c>
      <c r="G96" s="39">
        <v>6</v>
      </c>
      <c r="H96" s="39">
        <v>1.5</v>
      </c>
      <c r="I96" s="39">
        <v>3</v>
      </c>
      <c r="J96" s="39">
        <v>1.5</v>
      </c>
      <c r="K96" s="39">
        <v>2</v>
      </c>
      <c r="L96" s="39">
        <v>1.5</v>
      </c>
      <c r="M96" s="39">
        <v>1.5</v>
      </c>
      <c r="N96" s="39">
        <v>0</v>
      </c>
      <c r="O96" s="39">
        <v>0</v>
      </c>
      <c r="P96" s="38">
        <v>2023</v>
      </c>
      <c r="Q96" s="38" t="s">
        <v>78</v>
      </c>
      <c r="R96" s="38" t="s">
        <v>81</v>
      </c>
      <c r="S96" s="38" t="s">
        <v>103</v>
      </c>
      <c r="U96" s="38" t="s">
        <v>216</v>
      </c>
    </row>
    <row r="97" spans="1:21" x14ac:dyDescent="0.3">
      <c r="A97" s="38">
        <v>2204</v>
      </c>
      <c r="B97" s="38" t="s">
        <v>10</v>
      </c>
      <c r="C97" s="38" t="s">
        <v>36</v>
      </c>
      <c r="D97" s="40">
        <v>50</v>
      </c>
      <c r="E97" s="40">
        <v>50</v>
      </c>
      <c r="F97" s="39">
        <v>2</v>
      </c>
      <c r="G97" s="39">
        <v>8</v>
      </c>
      <c r="H97" s="39">
        <v>2</v>
      </c>
      <c r="I97" s="39">
        <v>6</v>
      </c>
      <c r="J97" s="39">
        <v>2</v>
      </c>
      <c r="K97" s="39">
        <v>4</v>
      </c>
      <c r="L97" s="39">
        <v>2</v>
      </c>
      <c r="M97" s="39">
        <v>2.5</v>
      </c>
      <c r="N97" s="39">
        <v>0</v>
      </c>
      <c r="O97" s="39">
        <v>0</v>
      </c>
      <c r="P97" s="38">
        <v>2026</v>
      </c>
      <c r="Q97" s="38" t="s">
        <v>79</v>
      </c>
      <c r="R97" s="38" t="s">
        <v>81</v>
      </c>
      <c r="S97" s="38" t="s">
        <v>103</v>
      </c>
      <c r="U97" s="38" t="s">
        <v>217</v>
      </c>
    </row>
    <row r="98" spans="1:21" x14ac:dyDescent="0.3">
      <c r="A98" s="38">
        <v>2205</v>
      </c>
      <c r="B98" s="38" t="s">
        <v>10</v>
      </c>
      <c r="C98" s="38" t="s">
        <v>37</v>
      </c>
      <c r="D98" s="40">
        <v>50</v>
      </c>
      <c r="E98" s="40">
        <v>50</v>
      </c>
      <c r="F98" s="39">
        <v>2</v>
      </c>
      <c r="G98" s="39">
        <v>8</v>
      </c>
      <c r="H98" s="39">
        <v>2</v>
      </c>
      <c r="I98" s="39">
        <v>8</v>
      </c>
      <c r="J98" s="39">
        <v>2</v>
      </c>
      <c r="K98" s="39">
        <v>4</v>
      </c>
      <c r="L98" s="39">
        <v>2</v>
      </c>
      <c r="M98" s="39">
        <v>2.5</v>
      </c>
      <c r="N98" s="39">
        <v>0</v>
      </c>
      <c r="O98" s="39">
        <v>0</v>
      </c>
      <c r="P98" s="38">
        <v>2026</v>
      </c>
      <c r="Q98" s="38" t="s">
        <v>79</v>
      </c>
      <c r="R98" s="38" t="s">
        <v>81</v>
      </c>
      <c r="S98" s="38" t="s">
        <v>103</v>
      </c>
      <c r="U98" s="38" t="s">
        <v>217</v>
      </c>
    </row>
    <row r="99" spans="1:21" x14ac:dyDescent="0.3">
      <c r="A99" s="38">
        <v>2206</v>
      </c>
      <c r="B99" s="38" t="s">
        <v>10</v>
      </c>
      <c r="C99" s="38" t="s">
        <v>38</v>
      </c>
      <c r="D99" s="40">
        <v>50</v>
      </c>
      <c r="E99" s="40">
        <v>50</v>
      </c>
      <c r="F99" s="39">
        <v>2</v>
      </c>
      <c r="G99" s="39">
        <v>8</v>
      </c>
      <c r="H99" s="39">
        <v>2</v>
      </c>
      <c r="I99" s="39">
        <v>8</v>
      </c>
      <c r="J99" s="39">
        <v>2</v>
      </c>
      <c r="K99" s="39">
        <v>6</v>
      </c>
      <c r="L99" s="39">
        <v>2</v>
      </c>
      <c r="M99" s="39">
        <v>2.5</v>
      </c>
      <c r="N99" s="39">
        <v>0</v>
      </c>
      <c r="O99" s="39">
        <v>0</v>
      </c>
      <c r="P99" s="38">
        <v>2026</v>
      </c>
      <c r="Q99" s="38" t="s">
        <v>79</v>
      </c>
      <c r="R99" s="38" t="s">
        <v>81</v>
      </c>
      <c r="S99" s="38" t="s">
        <v>103</v>
      </c>
      <c r="U99" s="38" t="s">
        <v>217</v>
      </c>
    </row>
    <row r="100" spans="1:21" x14ac:dyDescent="0.3">
      <c r="A100" s="38">
        <v>2207</v>
      </c>
      <c r="B100" s="38" t="s">
        <v>10</v>
      </c>
      <c r="C100" s="38" t="s">
        <v>39</v>
      </c>
      <c r="D100" s="40">
        <v>50</v>
      </c>
      <c r="E100" s="40">
        <v>50</v>
      </c>
      <c r="F100" s="39">
        <v>2</v>
      </c>
      <c r="G100" s="39">
        <v>8</v>
      </c>
      <c r="H100" s="39">
        <v>2</v>
      </c>
      <c r="I100" s="39">
        <v>8</v>
      </c>
      <c r="J100" s="39">
        <v>2</v>
      </c>
      <c r="K100" s="39">
        <v>8</v>
      </c>
      <c r="L100" s="39">
        <v>2</v>
      </c>
      <c r="M100" s="39">
        <v>4</v>
      </c>
      <c r="N100" s="39">
        <v>0</v>
      </c>
      <c r="O100" s="39">
        <v>0</v>
      </c>
      <c r="P100" s="38">
        <v>2026</v>
      </c>
      <c r="Q100" s="38" t="s">
        <v>79</v>
      </c>
      <c r="R100" s="38" t="s">
        <v>81</v>
      </c>
      <c r="S100" s="38" t="s">
        <v>103</v>
      </c>
      <c r="U100" s="38" t="s">
        <v>217</v>
      </c>
    </row>
    <row r="101" spans="1:21" x14ac:dyDescent="0.3">
      <c r="A101" s="38">
        <v>1779</v>
      </c>
      <c r="B101" s="38" t="s">
        <v>18</v>
      </c>
      <c r="C101" s="38" t="s">
        <v>131</v>
      </c>
      <c r="D101" s="40">
        <v>50</v>
      </c>
      <c r="E101" s="40">
        <v>50</v>
      </c>
      <c r="F101" s="39">
        <v>2.5</v>
      </c>
      <c r="G101" s="39">
        <v>8</v>
      </c>
      <c r="H101" s="39">
        <v>2.5</v>
      </c>
      <c r="I101" s="39">
        <v>8</v>
      </c>
      <c r="J101" s="39">
        <v>2.5</v>
      </c>
      <c r="K101" s="39">
        <v>8</v>
      </c>
      <c r="L101" s="39">
        <v>2.5</v>
      </c>
      <c r="M101" s="39">
        <v>2.5</v>
      </c>
      <c r="N101" s="39">
        <v>0</v>
      </c>
      <c r="O101" s="39">
        <v>0</v>
      </c>
      <c r="P101" s="38">
        <v>2026</v>
      </c>
      <c r="Q101" s="38" t="s">
        <v>79</v>
      </c>
      <c r="R101" s="38" t="s">
        <v>81</v>
      </c>
      <c r="S101" s="38" t="s">
        <v>103</v>
      </c>
      <c r="U101" s="38" t="s">
        <v>218</v>
      </c>
    </row>
    <row r="102" spans="1:21" x14ac:dyDescent="0.3">
      <c r="A102" s="38">
        <v>1780</v>
      </c>
      <c r="B102" s="38" t="s">
        <v>18</v>
      </c>
      <c r="C102" s="38" t="s">
        <v>132</v>
      </c>
      <c r="D102" s="40">
        <v>50</v>
      </c>
      <c r="E102" s="40">
        <v>50</v>
      </c>
      <c r="F102" s="39">
        <v>2.5</v>
      </c>
      <c r="G102" s="39">
        <v>8</v>
      </c>
      <c r="H102" s="39">
        <v>2.5</v>
      </c>
      <c r="I102" s="39">
        <v>8</v>
      </c>
      <c r="J102" s="39">
        <v>2.5</v>
      </c>
      <c r="K102" s="39">
        <v>8</v>
      </c>
      <c r="L102" s="39">
        <v>2.5</v>
      </c>
      <c r="M102" s="39">
        <v>8</v>
      </c>
      <c r="N102" s="39">
        <v>0</v>
      </c>
      <c r="O102" s="39">
        <v>0</v>
      </c>
      <c r="P102" s="38">
        <v>2026</v>
      </c>
      <c r="Q102" s="38" t="s">
        <v>79</v>
      </c>
      <c r="R102" s="38" t="s">
        <v>81</v>
      </c>
      <c r="S102" s="38" t="s">
        <v>103</v>
      </c>
      <c r="U102" s="38" t="s">
        <v>218</v>
      </c>
    </row>
    <row r="103" spans="1:21" x14ac:dyDescent="0.3">
      <c r="A103" s="38">
        <v>2242</v>
      </c>
      <c r="B103" s="38" t="s">
        <v>17</v>
      </c>
      <c r="C103" s="38" t="s">
        <v>43</v>
      </c>
      <c r="D103" s="40" t="s">
        <v>80</v>
      </c>
      <c r="E103" s="40" t="s">
        <v>22</v>
      </c>
      <c r="F103" s="39">
        <v>2</v>
      </c>
      <c r="G103" s="39">
        <v>6</v>
      </c>
      <c r="H103" s="39">
        <v>2</v>
      </c>
      <c r="I103" s="39">
        <v>4</v>
      </c>
      <c r="J103" s="39">
        <v>2</v>
      </c>
      <c r="K103" s="39">
        <v>4</v>
      </c>
      <c r="L103" s="39">
        <v>2</v>
      </c>
      <c r="M103" s="39">
        <v>4</v>
      </c>
      <c r="N103" s="39">
        <v>0</v>
      </c>
      <c r="O103" s="39">
        <v>0</v>
      </c>
      <c r="P103" s="38">
        <v>2026</v>
      </c>
      <c r="Q103" s="38" t="s">
        <v>78</v>
      </c>
      <c r="R103" s="38" t="s">
        <v>81</v>
      </c>
      <c r="S103" s="38" t="s">
        <v>103</v>
      </c>
    </row>
    <row r="104" spans="1:21" x14ac:dyDescent="0.3">
      <c r="A104" s="38">
        <v>2103</v>
      </c>
      <c r="B104" s="38" t="s">
        <v>17</v>
      </c>
      <c r="C104" s="38" t="s">
        <v>142</v>
      </c>
      <c r="D104" s="40">
        <v>50</v>
      </c>
      <c r="E104" s="40">
        <v>50</v>
      </c>
      <c r="F104" s="39">
        <v>2</v>
      </c>
      <c r="G104" s="39">
        <v>6</v>
      </c>
      <c r="H104" s="39">
        <v>2</v>
      </c>
      <c r="I104" s="39">
        <v>6</v>
      </c>
      <c r="J104" s="39">
        <v>2</v>
      </c>
      <c r="K104" s="39">
        <v>3</v>
      </c>
      <c r="L104" s="39">
        <v>2</v>
      </c>
      <c r="M104" s="39">
        <v>2</v>
      </c>
      <c r="N104" s="39">
        <v>0</v>
      </c>
      <c r="O104" s="39">
        <v>0</v>
      </c>
      <c r="P104" s="38">
        <v>2024</v>
      </c>
      <c r="Q104" s="38" t="s">
        <v>197</v>
      </c>
      <c r="R104" s="38" t="s">
        <v>81</v>
      </c>
      <c r="S104" s="38" t="s">
        <v>103</v>
      </c>
    </row>
    <row r="105" spans="1:21" x14ac:dyDescent="0.3">
      <c r="A105" s="38">
        <v>2104</v>
      </c>
      <c r="B105" s="38" t="s">
        <v>17</v>
      </c>
      <c r="C105" s="38" t="s">
        <v>143</v>
      </c>
      <c r="D105" s="40">
        <v>50</v>
      </c>
      <c r="E105" s="40">
        <v>50</v>
      </c>
      <c r="F105" s="39">
        <v>2</v>
      </c>
      <c r="G105" s="39">
        <v>6</v>
      </c>
      <c r="H105" s="39">
        <v>1.5</v>
      </c>
      <c r="I105" s="39">
        <v>6</v>
      </c>
      <c r="J105" s="39">
        <v>1.5</v>
      </c>
      <c r="K105" s="39">
        <v>5</v>
      </c>
      <c r="L105" s="39">
        <v>1.5</v>
      </c>
      <c r="M105" s="39">
        <v>2.5</v>
      </c>
      <c r="N105" s="39">
        <v>0</v>
      </c>
      <c r="O105" s="39">
        <v>0</v>
      </c>
      <c r="P105" s="38">
        <v>2024</v>
      </c>
      <c r="Q105" s="38" t="s">
        <v>197</v>
      </c>
      <c r="R105" s="38" t="s">
        <v>81</v>
      </c>
      <c r="S105" s="38" t="s">
        <v>103</v>
      </c>
    </row>
    <row r="106" spans="1:21" x14ac:dyDescent="0.3">
      <c r="A106" s="38">
        <v>1945</v>
      </c>
      <c r="B106" s="38" t="s">
        <v>10</v>
      </c>
      <c r="C106" s="38" t="s">
        <v>118</v>
      </c>
      <c r="D106" s="40">
        <v>50</v>
      </c>
      <c r="E106" s="40">
        <v>50</v>
      </c>
      <c r="F106" s="39">
        <v>1.5</v>
      </c>
      <c r="G106" s="39">
        <v>8</v>
      </c>
      <c r="H106" s="39">
        <v>1.5</v>
      </c>
      <c r="I106" s="39">
        <v>8</v>
      </c>
      <c r="J106" s="39">
        <v>1.5</v>
      </c>
      <c r="K106" s="39">
        <v>8</v>
      </c>
      <c r="L106" s="39">
        <v>1.5</v>
      </c>
      <c r="M106" s="39">
        <v>6</v>
      </c>
      <c r="N106" s="39">
        <v>1.5</v>
      </c>
      <c r="O106" s="39">
        <v>5</v>
      </c>
      <c r="P106" s="38">
        <v>2023</v>
      </c>
      <c r="Q106" s="38" t="s">
        <v>197</v>
      </c>
      <c r="R106" s="38" t="s">
        <v>81</v>
      </c>
      <c r="S106" s="38" t="s">
        <v>119</v>
      </c>
    </row>
    <row r="107" spans="1:21" x14ac:dyDescent="0.3">
      <c r="A107" s="38">
        <v>1737</v>
      </c>
      <c r="B107" s="38" t="s">
        <v>15</v>
      </c>
      <c r="C107" s="38" t="s">
        <v>88</v>
      </c>
      <c r="D107" s="40">
        <v>50</v>
      </c>
      <c r="E107" s="40" t="s">
        <v>75</v>
      </c>
      <c r="F107" s="39">
        <v>1.5</v>
      </c>
      <c r="G107" s="39">
        <v>7</v>
      </c>
      <c r="H107" s="39">
        <v>1.5</v>
      </c>
      <c r="I107" s="39">
        <v>5</v>
      </c>
      <c r="J107" s="39">
        <v>1.5</v>
      </c>
      <c r="K107" s="39">
        <v>2.5</v>
      </c>
      <c r="L107" s="39">
        <v>1.5</v>
      </c>
      <c r="M107" s="39">
        <v>1.5</v>
      </c>
      <c r="N107" s="39">
        <v>0</v>
      </c>
      <c r="O107" s="39">
        <v>0</v>
      </c>
      <c r="P107" s="38">
        <v>2023</v>
      </c>
      <c r="Q107" s="38" t="s">
        <v>79</v>
      </c>
      <c r="R107" s="38" t="s">
        <v>81</v>
      </c>
      <c r="S107" s="38" t="s">
        <v>103</v>
      </c>
    </row>
    <row r="108" spans="1:21" x14ac:dyDescent="0.3">
      <c r="A108" s="38">
        <v>1738</v>
      </c>
      <c r="B108" s="38" t="s">
        <v>15</v>
      </c>
      <c r="C108" s="38" t="s">
        <v>94</v>
      </c>
      <c r="D108" s="40">
        <v>50</v>
      </c>
      <c r="E108" s="40" t="s">
        <v>75</v>
      </c>
      <c r="F108" s="39">
        <v>1.5</v>
      </c>
      <c r="G108" s="39">
        <v>7</v>
      </c>
      <c r="H108" s="39">
        <v>1.5</v>
      </c>
      <c r="I108" s="39">
        <v>5</v>
      </c>
      <c r="J108" s="39">
        <v>1.5</v>
      </c>
      <c r="K108" s="39">
        <v>2.5</v>
      </c>
      <c r="L108" s="39">
        <v>1.5</v>
      </c>
      <c r="M108" s="39">
        <v>1.5</v>
      </c>
      <c r="N108" s="39">
        <v>0</v>
      </c>
      <c r="O108" s="39">
        <v>0</v>
      </c>
      <c r="P108" s="38">
        <v>2024</v>
      </c>
      <c r="Q108" s="38" t="s">
        <v>79</v>
      </c>
      <c r="R108" s="38" t="s">
        <v>81</v>
      </c>
      <c r="S108" s="38" t="s">
        <v>103</v>
      </c>
    </row>
    <row r="109" spans="1:21" x14ac:dyDescent="0.3">
      <c r="A109" s="38">
        <v>1739</v>
      </c>
      <c r="B109" s="38" t="s">
        <v>15</v>
      </c>
      <c r="C109" s="38" t="s">
        <v>95</v>
      </c>
      <c r="D109" s="40">
        <v>50</v>
      </c>
      <c r="E109" s="40" t="s">
        <v>75</v>
      </c>
      <c r="F109" s="39">
        <v>1.5</v>
      </c>
      <c r="G109" s="39">
        <v>7</v>
      </c>
      <c r="H109" s="39">
        <v>1.5</v>
      </c>
      <c r="I109" s="39">
        <v>5</v>
      </c>
      <c r="J109" s="39">
        <v>1.5</v>
      </c>
      <c r="K109" s="39">
        <v>3</v>
      </c>
      <c r="L109" s="39">
        <v>1.5</v>
      </c>
      <c r="M109" s="39">
        <v>2</v>
      </c>
      <c r="N109" s="39">
        <v>0</v>
      </c>
      <c r="O109" s="39">
        <v>0</v>
      </c>
      <c r="P109" s="38">
        <v>2024</v>
      </c>
      <c r="Q109" s="38" t="s">
        <v>79</v>
      </c>
      <c r="R109" s="38" t="s">
        <v>81</v>
      </c>
      <c r="S109" s="38" t="s">
        <v>103</v>
      </c>
    </row>
    <row r="110" spans="1:21" x14ac:dyDescent="0.3">
      <c r="A110" s="38">
        <v>1740</v>
      </c>
      <c r="B110" s="38" t="s">
        <v>15</v>
      </c>
      <c r="C110" s="38" t="s">
        <v>96</v>
      </c>
      <c r="D110" s="40">
        <v>50</v>
      </c>
      <c r="E110" s="40" t="s">
        <v>75</v>
      </c>
      <c r="F110" s="39">
        <v>1</v>
      </c>
      <c r="G110" s="39">
        <v>7</v>
      </c>
      <c r="H110" s="39">
        <v>1</v>
      </c>
      <c r="I110" s="39">
        <v>5</v>
      </c>
      <c r="J110" s="39">
        <v>1</v>
      </c>
      <c r="K110" s="39">
        <v>3</v>
      </c>
      <c r="L110" s="39">
        <v>1</v>
      </c>
      <c r="M110" s="39">
        <v>2</v>
      </c>
      <c r="N110" s="39">
        <v>0</v>
      </c>
      <c r="O110" s="39">
        <v>0</v>
      </c>
      <c r="P110" s="38">
        <v>2023</v>
      </c>
      <c r="Q110" s="38" t="s">
        <v>79</v>
      </c>
      <c r="R110" s="38" t="s">
        <v>81</v>
      </c>
      <c r="S110" s="38" t="s">
        <v>103</v>
      </c>
    </row>
    <row r="111" spans="1:21" x14ac:dyDescent="0.3">
      <c r="A111" s="38">
        <v>1947</v>
      </c>
      <c r="B111" s="38" t="s">
        <v>15</v>
      </c>
      <c r="C111" s="38" t="s">
        <v>120</v>
      </c>
      <c r="D111" s="40">
        <v>50</v>
      </c>
      <c r="E111" s="40">
        <v>50</v>
      </c>
      <c r="F111" s="39">
        <v>1</v>
      </c>
      <c r="G111" s="39">
        <v>7</v>
      </c>
      <c r="H111" s="39">
        <v>1</v>
      </c>
      <c r="I111" s="39">
        <v>7</v>
      </c>
      <c r="J111" s="39">
        <v>1</v>
      </c>
      <c r="K111" s="39">
        <v>4</v>
      </c>
      <c r="L111" s="39">
        <v>1</v>
      </c>
      <c r="M111" s="39">
        <v>3</v>
      </c>
      <c r="N111" s="39">
        <v>0</v>
      </c>
      <c r="O111" s="39">
        <v>0</v>
      </c>
      <c r="P111" s="38">
        <v>2025</v>
      </c>
      <c r="Q111" s="38" t="s">
        <v>79</v>
      </c>
      <c r="R111" s="38" t="s">
        <v>81</v>
      </c>
      <c r="S111" s="38" t="s">
        <v>103</v>
      </c>
    </row>
    <row r="112" spans="1:21" x14ac:dyDescent="0.3">
      <c r="A112" s="38">
        <v>2084</v>
      </c>
      <c r="B112" s="38" t="s">
        <v>15</v>
      </c>
      <c r="C112" s="38" t="s">
        <v>29</v>
      </c>
      <c r="D112" s="40">
        <v>50</v>
      </c>
      <c r="E112" s="40">
        <v>50</v>
      </c>
      <c r="F112" s="39">
        <v>1.5</v>
      </c>
      <c r="G112" s="39">
        <v>7</v>
      </c>
      <c r="H112" s="39">
        <v>1.5</v>
      </c>
      <c r="I112" s="39">
        <v>6</v>
      </c>
      <c r="J112" s="39">
        <v>1.5</v>
      </c>
      <c r="K112" s="39">
        <v>3</v>
      </c>
      <c r="L112" s="39">
        <v>1.5</v>
      </c>
      <c r="M112" s="39">
        <v>1.5</v>
      </c>
      <c r="N112" s="39">
        <v>0</v>
      </c>
      <c r="O112" s="39">
        <v>0</v>
      </c>
      <c r="P112" s="38">
        <v>2023</v>
      </c>
      <c r="Q112" s="38" t="s">
        <v>79</v>
      </c>
      <c r="R112" s="38" t="s">
        <v>81</v>
      </c>
      <c r="S112" s="38" t="s">
        <v>102</v>
      </c>
    </row>
    <row r="113" spans="1:20" x14ac:dyDescent="0.3">
      <c r="A113" s="38">
        <v>2048</v>
      </c>
      <c r="B113" s="38" t="s">
        <v>15</v>
      </c>
      <c r="C113" s="38" t="s">
        <v>26</v>
      </c>
      <c r="D113" s="40">
        <v>50</v>
      </c>
      <c r="E113" s="40">
        <v>50</v>
      </c>
      <c r="F113" s="39">
        <v>1.5</v>
      </c>
      <c r="G113" s="39">
        <v>7</v>
      </c>
      <c r="H113" s="39">
        <v>1.5</v>
      </c>
      <c r="I113" s="39">
        <v>5</v>
      </c>
      <c r="J113" s="39">
        <v>1.5</v>
      </c>
      <c r="K113" s="39">
        <v>3</v>
      </c>
      <c r="L113" s="39">
        <v>1.5</v>
      </c>
      <c r="M113" s="39">
        <v>1.5</v>
      </c>
      <c r="N113" s="39">
        <v>0</v>
      </c>
      <c r="O113" s="39">
        <v>0</v>
      </c>
      <c r="P113" s="38">
        <v>2023</v>
      </c>
      <c r="Q113" s="38" t="s">
        <v>79</v>
      </c>
      <c r="R113" s="38" t="s">
        <v>81</v>
      </c>
      <c r="S113" s="38" t="s">
        <v>102</v>
      </c>
    </row>
    <row r="114" spans="1:20" x14ac:dyDescent="0.3">
      <c r="A114" s="38">
        <v>2046</v>
      </c>
      <c r="B114" s="38" t="s">
        <v>15</v>
      </c>
      <c r="C114" s="38" t="s">
        <v>24</v>
      </c>
      <c r="D114" s="40">
        <v>50</v>
      </c>
      <c r="E114" s="40">
        <v>50</v>
      </c>
      <c r="F114" s="39">
        <v>1.5</v>
      </c>
      <c r="G114" s="39">
        <v>7</v>
      </c>
      <c r="H114" s="39">
        <v>1.5</v>
      </c>
      <c r="I114" s="39">
        <v>7</v>
      </c>
      <c r="J114" s="39">
        <v>1.5</v>
      </c>
      <c r="K114" s="39">
        <v>5</v>
      </c>
      <c r="L114" s="39">
        <v>1.5</v>
      </c>
      <c r="M114" s="39">
        <v>3</v>
      </c>
      <c r="N114" s="39">
        <v>0</v>
      </c>
      <c r="O114" s="39">
        <v>0</v>
      </c>
      <c r="P114" s="38">
        <v>2022</v>
      </c>
      <c r="Q114" s="38" t="s">
        <v>79</v>
      </c>
      <c r="R114" s="38" t="s">
        <v>81</v>
      </c>
      <c r="S114" s="38" t="s">
        <v>102</v>
      </c>
    </row>
    <row r="115" spans="1:20" x14ac:dyDescent="0.3">
      <c r="A115" s="38">
        <v>2047</v>
      </c>
      <c r="B115" s="38" t="s">
        <v>15</v>
      </c>
      <c r="C115" s="38" t="s">
        <v>25</v>
      </c>
      <c r="D115" s="40">
        <v>50</v>
      </c>
      <c r="E115" s="40">
        <v>50</v>
      </c>
      <c r="F115" s="39">
        <v>1.5</v>
      </c>
      <c r="G115" s="39">
        <v>7</v>
      </c>
      <c r="H115" s="39">
        <v>1.5</v>
      </c>
      <c r="I115" s="39">
        <v>7</v>
      </c>
      <c r="J115" s="39">
        <v>1.5</v>
      </c>
      <c r="K115" s="39">
        <v>4</v>
      </c>
      <c r="L115" s="39">
        <v>1.5</v>
      </c>
      <c r="M115" s="39">
        <v>3</v>
      </c>
      <c r="N115" s="39">
        <v>0</v>
      </c>
      <c r="O115" s="39">
        <v>0</v>
      </c>
      <c r="P115" s="38">
        <v>2022</v>
      </c>
      <c r="Q115" s="38" t="s">
        <v>79</v>
      </c>
      <c r="R115" s="38" t="s">
        <v>81</v>
      </c>
      <c r="S115" s="38" t="s">
        <v>102</v>
      </c>
    </row>
    <row r="116" spans="1:20" x14ac:dyDescent="0.3">
      <c r="A116" s="38">
        <v>2081</v>
      </c>
      <c r="B116" s="38" t="s">
        <v>15</v>
      </c>
      <c r="C116" s="38" t="s">
        <v>28</v>
      </c>
      <c r="D116" s="40">
        <v>50</v>
      </c>
      <c r="E116" s="40">
        <v>50</v>
      </c>
      <c r="F116" s="39">
        <v>1.5</v>
      </c>
      <c r="G116" s="39">
        <v>7</v>
      </c>
      <c r="H116" s="39">
        <v>1.5</v>
      </c>
      <c r="I116" s="39">
        <v>7</v>
      </c>
      <c r="J116" s="39">
        <v>1.5</v>
      </c>
      <c r="K116" s="39">
        <v>3.5</v>
      </c>
      <c r="L116" s="39">
        <v>1.5</v>
      </c>
      <c r="M116" s="39">
        <v>2</v>
      </c>
      <c r="N116" s="39">
        <v>0</v>
      </c>
      <c r="O116" s="39">
        <v>0</v>
      </c>
      <c r="P116" s="38">
        <v>2023</v>
      </c>
      <c r="Q116" s="38" t="s">
        <v>79</v>
      </c>
      <c r="R116" s="38" t="s">
        <v>81</v>
      </c>
      <c r="S116" s="38" t="s">
        <v>102</v>
      </c>
    </row>
    <row r="117" spans="1:20" x14ac:dyDescent="0.3">
      <c r="A117" s="38">
        <v>1896</v>
      </c>
      <c r="B117" s="38" t="s">
        <v>17</v>
      </c>
      <c r="C117" s="38" t="s">
        <v>108</v>
      </c>
      <c r="D117" s="40">
        <v>50</v>
      </c>
      <c r="E117" s="40">
        <v>50</v>
      </c>
      <c r="F117" s="39">
        <v>2.5</v>
      </c>
      <c r="G117" s="39">
        <v>8</v>
      </c>
      <c r="H117" s="39">
        <v>2.5</v>
      </c>
      <c r="I117" s="39">
        <v>6</v>
      </c>
      <c r="J117" s="39">
        <v>2.5</v>
      </c>
      <c r="K117" s="39">
        <v>3.5</v>
      </c>
      <c r="L117" s="39">
        <v>2.5</v>
      </c>
      <c r="M117" s="39">
        <v>2.5</v>
      </c>
      <c r="N117" s="39">
        <v>0</v>
      </c>
      <c r="O117" s="39">
        <v>0</v>
      </c>
      <c r="P117" s="38">
        <v>2023</v>
      </c>
      <c r="Q117" s="38" t="s">
        <v>79</v>
      </c>
      <c r="R117" s="38" t="s">
        <v>81</v>
      </c>
      <c r="S117" s="38" t="s">
        <v>102</v>
      </c>
    </row>
    <row r="118" spans="1:20" x14ac:dyDescent="0.3">
      <c r="A118" s="38">
        <v>1821</v>
      </c>
      <c r="B118" s="38" t="s">
        <v>17</v>
      </c>
      <c r="C118" s="38" t="s">
        <v>99</v>
      </c>
      <c r="D118" s="40">
        <v>50</v>
      </c>
      <c r="E118" s="40">
        <v>50</v>
      </c>
      <c r="F118" s="39">
        <v>2</v>
      </c>
      <c r="G118" s="39">
        <v>8</v>
      </c>
      <c r="H118" s="39">
        <v>2</v>
      </c>
      <c r="I118" s="39">
        <v>6</v>
      </c>
      <c r="J118" s="39">
        <v>2</v>
      </c>
      <c r="K118" s="39">
        <v>3</v>
      </c>
      <c r="L118" s="39">
        <v>2</v>
      </c>
      <c r="M118" s="39">
        <v>2</v>
      </c>
      <c r="N118" s="39">
        <v>0</v>
      </c>
      <c r="O118" s="39">
        <v>0</v>
      </c>
      <c r="P118" s="38">
        <v>2027</v>
      </c>
      <c r="Q118" s="38" t="s">
        <v>79</v>
      </c>
      <c r="R118" s="38" t="s">
        <v>81</v>
      </c>
      <c r="S118" s="38" t="s">
        <v>102</v>
      </c>
    </row>
    <row r="119" spans="1:20" x14ac:dyDescent="0.3">
      <c r="A119" s="38">
        <v>1779</v>
      </c>
      <c r="B119" s="38" t="s">
        <v>18</v>
      </c>
      <c r="C119" s="38" t="s">
        <v>98</v>
      </c>
      <c r="D119" s="40">
        <v>50</v>
      </c>
      <c r="E119" s="40">
        <v>50</v>
      </c>
      <c r="F119" s="39">
        <v>2.5</v>
      </c>
      <c r="G119" s="39">
        <v>8</v>
      </c>
      <c r="H119" s="39">
        <v>2.5</v>
      </c>
      <c r="I119" s="39">
        <v>8</v>
      </c>
      <c r="J119" s="39">
        <v>2.5</v>
      </c>
      <c r="K119" s="39">
        <v>8</v>
      </c>
      <c r="L119" s="39">
        <v>2.5</v>
      </c>
      <c r="M119" s="39">
        <v>2.5</v>
      </c>
      <c r="N119" s="39">
        <v>0</v>
      </c>
      <c r="O119" s="39">
        <v>0</v>
      </c>
      <c r="P119" s="38">
        <v>2026</v>
      </c>
      <c r="Q119" s="38" t="s">
        <v>79</v>
      </c>
      <c r="R119" s="38" t="s">
        <v>81</v>
      </c>
      <c r="S119" s="38" t="s">
        <v>103</v>
      </c>
    </row>
    <row r="120" spans="1:20" x14ac:dyDescent="0.3">
      <c r="A120" s="38">
        <v>1780</v>
      </c>
      <c r="B120" s="38" t="s">
        <v>18</v>
      </c>
      <c r="C120" s="38" t="s">
        <v>19</v>
      </c>
      <c r="D120" s="40">
        <v>50</v>
      </c>
      <c r="E120" s="40">
        <v>50</v>
      </c>
      <c r="F120" s="39">
        <v>2.5</v>
      </c>
      <c r="G120" s="39">
        <v>8</v>
      </c>
      <c r="H120" s="39">
        <v>2.5</v>
      </c>
      <c r="I120" s="39">
        <v>8</v>
      </c>
      <c r="J120" s="39">
        <v>2.5</v>
      </c>
      <c r="K120" s="39">
        <v>8</v>
      </c>
      <c r="L120" s="39">
        <v>2.5</v>
      </c>
      <c r="M120" s="39">
        <v>8</v>
      </c>
      <c r="N120" s="39">
        <v>0</v>
      </c>
      <c r="O120" s="39">
        <v>0</v>
      </c>
      <c r="P120" s="38">
        <v>2026</v>
      </c>
      <c r="Q120" s="38" t="s">
        <v>79</v>
      </c>
      <c r="R120" s="38" t="s">
        <v>81</v>
      </c>
      <c r="S120" s="38" t="s">
        <v>103</v>
      </c>
    </row>
    <row r="121" spans="1:20" x14ac:dyDescent="0.3">
      <c r="A121" s="38">
        <v>2185</v>
      </c>
      <c r="B121" s="38" t="s">
        <v>32</v>
      </c>
      <c r="C121" s="38" t="s">
        <v>195</v>
      </c>
      <c r="D121" s="40">
        <v>50</v>
      </c>
      <c r="E121" s="40">
        <v>50</v>
      </c>
      <c r="F121" s="39">
        <v>2</v>
      </c>
      <c r="G121" s="39">
        <v>6</v>
      </c>
      <c r="H121" s="39">
        <v>2</v>
      </c>
      <c r="I121" s="39">
        <v>6</v>
      </c>
      <c r="J121" s="39">
        <v>2</v>
      </c>
      <c r="K121" s="39">
        <v>4</v>
      </c>
      <c r="L121" s="39">
        <v>2</v>
      </c>
      <c r="M121" s="39">
        <v>2</v>
      </c>
      <c r="N121" s="39">
        <v>0</v>
      </c>
      <c r="O121" s="39">
        <v>0</v>
      </c>
      <c r="P121" s="38">
        <v>2026</v>
      </c>
      <c r="Q121" s="38" t="s">
        <v>79</v>
      </c>
      <c r="R121" s="38" t="s">
        <v>81</v>
      </c>
      <c r="S121" s="38" t="s">
        <v>103</v>
      </c>
    </row>
    <row r="122" spans="1:20" x14ac:dyDescent="0.3">
      <c r="A122" s="38">
        <v>2189</v>
      </c>
      <c r="B122" s="38" t="s">
        <v>32</v>
      </c>
      <c r="C122" s="38" t="s">
        <v>196</v>
      </c>
      <c r="D122" s="40">
        <v>50</v>
      </c>
      <c r="E122" s="40">
        <v>50</v>
      </c>
      <c r="F122" s="39">
        <v>2</v>
      </c>
      <c r="G122" s="39">
        <v>6</v>
      </c>
      <c r="H122" s="39">
        <v>2</v>
      </c>
      <c r="I122" s="39">
        <v>6</v>
      </c>
      <c r="J122" s="39">
        <v>2</v>
      </c>
      <c r="K122" s="39">
        <v>6</v>
      </c>
      <c r="L122" s="39">
        <v>2</v>
      </c>
      <c r="M122" s="39">
        <v>3</v>
      </c>
      <c r="N122" s="39">
        <v>0</v>
      </c>
      <c r="O122" s="39">
        <v>0</v>
      </c>
      <c r="P122" s="38">
        <v>2026</v>
      </c>
      <c r="Q122" s="38" t="s">
        <v>79</v>
      </c>
      <c r="R122" s="38" t="s">
        <v>81</v>
      </c>
      <c r="S122" s="38" t="s">
        <v>103</v>
      </c>
    </row>
    <row r="123" spans="1:20" x14ac:dyDescent="0.3">
      <c r="A123" s="38">
        <v>1933</v>
      </c>
      <c r="B123" s="38" t="s">
        <v>10</v>
      </c>
      <c r="C123" s="38" t="s">
        <v>106</v>
      </c>
      <c r="D123" s="40">
        <v>50</v>
      </c>
      <c r="E123" s="40">
        <v>50</v>
      </c>
      <c r="F123" s="39">
        <v>1</v>
      </c>
      <c r="G123" s="39">
        <v>6</v>
      </c>
      <c r="H123" s="39">
        <v>1</v>
      </c>
      <c r="I123" s="39">
        <v>2</v>
      </c>
      <c r="J123" s="39">
        <v>1</v>
      </c>
      <c r="K123" s="39">
        <v>1.5</v>
      </c>
      <c r="L123" s="39">
        <v>1</v>
      </c>
      <c r="M123" s="39">
        <v>1</v>
      </c>
      <c r="N123" s="39">
        <v>0</v>
      </c>
      <c r="O123" s="39">
        <v>0</v>
      </c>
      <c r="P123" s="38">
        <v>2023</v>
      </c>
      <c r="Q123" s="38" t="s">
        <v>78</v>
      </c>
      <c r="R123" s="38" t="s">
        <v>81</v>
      </c>
      <c r="S123" s="38" t="s">
        <v>210</v>
      </c>
      <c r="T123" s="38" t="s">
        <v>86</v>
      </c>
    </row>
    <row r="124" spans="1:20" x14ac:dyDescent="0.3">
      <c r="A124" s="38">
        <v>1932</v>
      </c>
      <c r="B124" s="38" t="s">
        <v>10</v>
      </c>
      <c r="C124" s="38" t="s">
        <v>105</v>
      </c>
      <c r="D124" s="40">
        <v>50</v>
      </c>
      <c r="E124" s="40">
        <v>50</v>
      </c>
      <c r="F124" s="39">
        <v>1</v>
      </c>
      <c r="G124" s="39">
        <v>6</v>
      </c>
      <c r="H124" s="39">
        <v>1</v>
      </c>
      <c r="I124" s="39">
        <v>3</v>
      </c>
      <c r="J124" s="39">
        <v>1</v>
      </c>
      <c r="K124" s="39">
        <v>1.5</v>
      </c>
      <c r="L124" s="39">
        <v>1</v>
      </c>
      <c r="M124" s="39">
        <v>1</v>
      </c>
      <c r="N124" s="39">
        <v>0</v>
      </c>
      <c r="O124" s="39">
        <v>0</v>
      </c>
      <c r="P124" s="38">
        <v>2023</v>
      </c>
      <c r="Q124" s="38" t="s">
        <v>78</v>
      </c>
      <c r="R124" s="38" t="s">
        <v>81</v>
      </c>
      <c r="S124" s="38" t="s">
        <v>210</v>
      </c>
      <c r="T124" s="38" t="s">
        <v>87</v>
      </c>
    </row>
    <row r="125" spans="1:20" x14ac:dyDescent="0.3">
      <c r="A125" s="38">
        <v>1934</v>
      </c>
      <c r="B125" s="38" t="s">
        <v>10</v>
      </c>
      <c r="C125" s="38" t="s">
        <v>107</v>
      </c>
      <c r="D125" s="40">
        <v>50</v>
      </c>
      <c r="E125" s="40">
        <v>50</v>
      </c>
      <c r="F125" s="39">
        <v>1</v>
      </c>
      <c r="G125" s="39">
        <v>6</v>
      </c>
      <c r="H125" s="39">
        <v>1</v>
      </c>
      <c r="I125" s="39">
        <v>3</v>
      </c>
      <c r="J125" s="39">
        <v>1</v>
      </c>
      <c r="K125" s="39">
        <v>1.5</v>
      </c>
      <c r="L125" s="39">
        <v>1</v>
      </c>
      <c r="M125" s="39">
        <v>1</v>
      </c>
      <c r="N125" s="39">
        <v>0</v>
      </c>
      <c r="O125" s="39">
        <v>0</v>
      </c>
      <c r="P125" s="38">
        <v>2023</v>
      </c>
      <c r="Q125" s="38" t="s">
        <v>78</v>
      </c>
      <c r="R125" s="38" t="s">
        <v>81</v>
      </c>
      <c r="S125" s="38" t="s">
        <v>210</v>
      </c>
      <c r="T125" s="38" t="s">
        <v>77</v>
      </c>
    </row>
    <row r="126" spans="1:20" x14ac:dyDescent="0.3">
      <c r="A126" s="38">
        <v>1937</v>
      </c>
      <c r="B126" s="38" t="s">
        <v>10</v>
      </c>
      <c r="C126" s="38" t="s">
        <v>116</v>
      </c>
      <c r="D126" s="40">
        <v>50</v>
      </c>
      <c r="E126" s="40">
        <v>50</v>
      </c>
      <c r="F126" s="39">
        <v>1</v>
      </c>
      <c r="G126" s="39">
        <v>6</v>
      </c>
      <c r="H126" s="39">
        <v>1</v>
      </c>
      <c r="I126" s="39">
        <v>6</v>
      </c>
      <c r="J126" s="39">
        <v>1</v>
      </c>
      <c r="K126" s="39">
        <v>2</v>
      </c>
      <c r="L126" s="39">
        <v>1</v>
      </c>
      <c r="M126" s="39">
        <v>1</v>
      </c>
      <c r="N126" s="39">
        <v>0</v>
      </c>
      <c r="O126" s="39">
        <v>0</v>
      </c>
      <c r="P126" s="38">
        <v>2023</v>
      </c>
      <c r="Q126" s="38" t="s">
        <v>78</v>
      </c>
      <c r="R126" s="38" t="s">
        <v>81</v>
      </c>
      <c r="S126" s="38" t="s">
        <v>210</v>
      </c>
      <c r="T126" s="38" t="s">
        <v>117</v>
      </c>
    </row>
    <row r="127" spans="1:20" x14ac:dyDescent="0.3">
      <c r="A127" s="38">
        <v>2049</v>
      </c>
      <c r="B127" s="38" t="s">
        <v>15</v>
      </c>
      <c r="C127" s="38" t="s">
        <v>27</v>
      </c>
      <c r="D127" s="40"/>
      <c r="E127" s="40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8">
        <v>2024</v>
      </c>
      <c r="R127" s="38" t="s">
        <v>81</v>
      </c>
      <c r="S127" s="38" t="s">
        <v>239</v>
      </c>
    </row>
    <row r="128" spans="1:20" x14ac:dyDescent="0.3">
      <c r="A128" s="38">
        <v>2156</v>
      </c>
      <c r="B128" s="38" t="s">
        <v>31</v>
      </c>
      <c r="C128" s="38" t="s">
        <v>30</v>
      </c>
      <c r="D128" s="40"/>
      <c r="E128" s="40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8">
        <v>2025</v>
      </c>
      <c r="R128" s="38" t="s">
        <v>81</v>
      </c>
      <c r="S128" s="38" t="s">
        <v>239</v>
      </c>
    </row>
    <row r="129" spans="1:21" x14ac:dyDescent="0.3">
      <c r="A129" s="38">
        <v>2193</v>
      </c>
      <c r="B129" s="38" t="s">
        <v>35</v>
      </c>
      <c r="C129" s="38" t="s">
        <v>34</v>
      </c>
      <c r="D129" s="40"/>
      <c r="E129" s="40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8">
        <v>2026</v>
      </c>
      <c r="R129" s="38" t="s">
        <v>81</v>
      </c>
      <c r="S129" s="38" t="s">
        <v>239</v>
      </c>
    </row>
    <row r="130" spans="1:21" x14ac:dyDescent="0.3">
      <c r="A130" s="38">
        <v>2231</v>
      </c>
      <c r="B130" s="38" t="s">
        <v>16</v>
      </c>
      <c r="C130" s="38" t="s">
        <v>240</v>
      </c>
      <c r="D130" s="40">
        <v>50</v>
      </c>
      <c r="E130" s="40">
        <v>50</v>
      </c>
      <c r="F130" s="39">
        <v>1</v>
      </c>
      <c r="G130" s="39">
        <v>6</v>
      </c>
      <c r="H130" s="39">
        <v>1</v>
      </c>
      <c r="I130" s="39">
        <v>4</v>
      </c>
      <c r="J130" s="39">
        <v>1</v>
      </c>
      <c r="K130" s="39">
        <v>2</v>
      </c>
      <c r="L130" s="39">
        <v>1</v>
      </c>
      <c r="M130" s="39">
        <v>1</v>
      </c>
      <c r="N130" s="39">
        <v>0</v>
      </c>
      <c r="O130" s="39">
        <v>0</v>
      </c>
      <c r="P130" s="38">
        <v>2026</v>
      </c>
      <c r="R130" s="38" t="s">
        <v>81</v>
      </c>
      <c r="S130" s="38" t="s">
        <v>103</v>
      </c>
    </row>
    <row r="131" spans="1:21" x14ac:dyDescent="0.3">
      <c r="A131" s="38">
        <v>2309</v>
      </c>
      <c r="B131" s="38" t="s">
        <v>17</v>
      </c>
      <c r="C131" s="38" t="s">
        <v>241</v>
      </c>
      <c r="D131" s="40">
        <v>25</v>
      </c>
      <c r="E131" s="40">
        <v>40</v>
      </c>
      <c r="F131" s="39">
        <v>1.5</v>
      </c>
      <c r="G131" s="39">
        <v>6</v>
      </c>
      <c r="H131" s="39">
        <v>1.5</v>
      </c>
      <c r="I131" s="39">
        <v>6</v>
      </c>
      <c r="J131" s="39">
        <v>1.5</v>
      </c>
      <c r="K131" s="39">
        <v>6</v>
      </c>
      <c r="L131" s="39">
        <v>1.5</v>
      </c>
      <c r="M131" s="39">
        <v>6</v>
      </c>
      <c r="N131" s="39">
        <v>0</v>
      </c>
      <c r="O131" s="39">
        <v>0</v>
      </c>
      <c r="P131" s="38">
        <v>2028</v>
      </c>
      <c r="R131" s="38" t="s">
        <v>81</v>
      </c>
      <c r="S131" s="38" t="s">
        <v>103</v>
      </c>
    </row>
    <row r="132" spans="1:21" x14ac:dyDescent="0.3">
      <c r="A132" s="38">
        <v>2316</v>
      </c>
      <c r="B132" s="38" t="s">
        <v>31</v>
      </c>
      <c r="C132" s="38" t="s">
        <v>242</v>
      </c>
      <c r="D132" s="40">
        <v>25</v>
      </c>
      <c r="E132" s="40">
        <v>40</v>
      </c>
      <c r="F132" s="39">
        <v>1.5</v>
      </c>
      <c r="G132" s="39">
        <v>8</v>
      </c>
      <c r="H132" s="39">
        <v>1.5</v>
      </c>
      <c r="I132" s="39">
        <v>2</v>
      </c>
      <c r="J132" s="39">
        <v>1.5</v>
      </c>
      <c r="K132" s="39">
        <v>2</v>
      </c>
      <c r="L132" s="39">
        <v>1.5</v>
      </c>
      <c r="M132" s="39">
        <v>2</v>
      </c>
      <c r="N132" s="39">
        <v>1.5</v>
      </c>
      <c r="O132" s="39">
        <v>2</v>
      </c>
      <c r="P132" s="38">
        <v>2028</v>
      </c>
      <c r="R132" s="38" t="s">
        <v>81</v>
      </c>
      <c r="S132" s="38" t="s">
        <v>103</v>
      </c>
      <c r="U132" s="38" t="s">
        <v>153</v>
      </c>
    </row>
    <row r="133" spans="1:21" x14ac:dyDescent="0.3">
      <c r="D133" s="40"/>
      <c r="E133" s="40"/>
      <c r="F133" s="39"/>
      <c r="G133" s="39"/>
      <c r="H133" s="39"/>
      <c r="I133" s="39"/>
      <c r="J133" s="39"/>
      <c r="K133" s="39"/>
      <c r="L133" s="39"/>
      <c r="M133" s="39"/>
      <c r="N133" s="39"/>
      <c r="O133" s="39"/>
    </row>
    <row r="134" spans="1:21" x14ac:dyDescent="0.3">
      <c r="D134" s="40"/>
      <c r="E134" s="40"/>
      <c r="F134" s="39"/>
      <c r="G134" s="39"/>
      <c r="H134" s="39"/>
      <c r="I134" s="39"/>
      <c r="J134" s="39"/>
      <c r="K134" s="39"/>
      <c r="L134" s="39"/>
      <c r="M134" s="39"/>
      <c r="N134" s="39"/>
      <c r="O134" s="39"/>
    </row>
    <row r="135" spans="1:21" x14ac:dyDescent="0.3">
      <c r="D135" s="40"/>
      <c r="E135" s="40"/>
      <c r="F135" s="39"/>
      <c r="G135" s="39"/>
      <c r="H135" s="39"/>
      <c r="I135" s="39"/>
      <c r="J135" s="39"/>
      <c r="K135" s="39"/>
      <c r="L135" s="39"/>
      <c r="M135" s="39"/>
      <c r="N135" s="39"/>
      <c r="O135" s="39"/>
    </row>
    <row r="136" spans="1:21" x14ac:dyDescent="0.3">
      <c r="D136" s="40"/>
      <c r="E136" s="40"/>
      <c r="F136" s="39"/>
      <c r="G136" s="39"/>
      <c r="H136" s="39"/>
      <c r="I136" s="39"/>
      <c r="J136" s="39"/>
      <c r="K136" s="39"/>
      <c r="L136" s="39"/>
      <c r="M136" s="39"/>
      <c r="N136" s="39"/>
      <c r="O136" s="39"/>
    </row>
    <row r="137" spans="1:21" x14ac:dyDescent="0.3">
      <c r="D137" s="40"/>
      <c r="E137" s="40"/>
      <c r="F137" s="39"/>
      <c r="G137" s="39"/>
      <c r="H137" s="39"/>
      <c r="I137" s="39"/>
      <c r="J137" s="39"/>
      <c r="K137" s="39"/>
      <c r="L137" s="39"/>
      <c r="M137" s="39"/>
      <c r="N137" s="39"/>
      <c r="O137" s="39"/>
    </row>
    <row r="138" spans="1:21" x14ac:dyDescent="0.3">
      <c r="D138" s="40"/>
      <c r="E138" s="40"/>
      <c r="F138" s="39"/>
      <c r="G138" s="39"/>
      <c r="H138" s="39"/>
      <c r="I138" s="39"/>
      <c r="J138" s="39"/>
      <c r="K138" s="39"/>
      <c r="L138" s="39"/>
      <c r="M138" s="39"/>
      <c r="N138" s="39"/>
      <c r="O138" s="39"/>
    </row>
    <row r="139" spans="1:21" x14ac:dyDescent="0.3">
      <c r="D139" s="40"/>
      <c r="E139" s="40"/>
      <c r="F139" s="39"/>
      <c r="G139" s="39"/>
      <c r="H139" s="39"/>
      <c r="I139" s="39"/>
      <c r="J139" s="39"/>
      <c r="K139" s="39"/>
      <c r="L139" s="39"/>
      <c r="M139" s="39"/>
      <c r="N139" s="39"/>
      <c r="O139" s="39"/>
    </row>
    <row r="140" spans="1:21" x14ac:dyDescent="0.3">
      <c r="D140" s="40"/>
      <c r="E140" s="40"/>
      <c r="F140" s="39"/>
      <c r="G140" s="39"/>
      <c r="H140" s="39"/>
      <c r="I140" s="39"/>
      <c r="J140" s="39"/>
      <c r="K140" s="39"/>
      <c r="L140" s="39"/>
      <c r="M140" s="39"/>
      <c r="N140" s="39"/>
      <c r="O140" s="39"/>
    </row>
    <row r="141" spans="1:21" x14ac:dyDescent="0.3">
      <c r="D141" s="40"/>
      <c r="E141" s="40"/>
      <c r="F141" s="39"/>
      <c r="G141" s="39"/>
      <c r="H141" s="39"/>
      <c r="I141" s="39"/>
      <c r="J141" s="39"/>
      <c r="K141" s="39"/>
      <c r="L141" s="39"/>
      <c r="M141" s="39"/>
      <c r="N141" s="39"/>
      <c r="O141" s="39"/>
    </row>
    <row r="142" spans="1:21" x14ac:dyDescent="0.3">
      <c r="D142" s="40"/>
      <c r="E142" s="40"/>
      <c r="F142" s="39"/>
      <c r="G142" s="39"/>
      <c r="H142" s="39"/>
      <c r="I142" s="39"/>
      <c r="J142" s="39"/>
      <c r="K142" s="39"/>
      <c r="L142" s="39"/>
      <c r="M142" s="39"/>
      <c r="N142" s="39"/>
      <c r="O142" s="39"/>
    </row>
    <row r="143" spans="1:21" x14ac:dyDescent="0.3">
      <c r="D143" s="40"/>
      <c r="E143" s="40"/>
      <c r="F143" s="39"/>
      <c r="G143" s="39"/>
      <c r="H143" s="39"/>
      <c r="I143" s="39"/>
      <c r="J143" s="39"/>
      <c r="K143" s="39"/>
      <c r="L143" s="39"/>
      <c r="M143" s="39"/>
      <c r="N143" s="39"/>
      <c r="O143" s="39"/>
    </row>
    <row r="144" spans="1:21" x14ac:dyDescent="0.3">
      <c r="D144" s="40"/>
      <c r="E144" s="40"/>
      <c r="F144" s="39"/>
      <c r="G144" s="39"/>
      <c r="H144" s="39"/>
      <c r="I144" s="39"/>
      <c r="J144" s="39"/>
      <c r="K144" s="39"/>
      <c r="L144" s="39"/>
      <c r="M144" s="39"/>
      <c r="N144" s="39"/>
      <c r="O144" s="39"/>
    </row>
    <row r="145" spans="4:15" x14ac:dyDescent="0.3">
      <c r="D145" s="40"/>
      <c r="E145" s="40"/>
      <c r="F145" s="39"/>
      <c r="G145" s="39"/>
      <c r="H145" s="39"/>
      <c r="I145" s="39"/>
      <c r="J145" s="39"/>
      <c r="K145" s="39"/>
      <c r="L145" s="39"/>
      <c r="M145" s="39"/>
      <c r="N145" s="39"/>
      <c r="O145" s="39"/>
    </row>
    <row r="146" spans="4:15" x14ac:dyDescent="0.3">
      <c r="D146" s="40"/>
      <c r="E146" s="40"/>
      <c r="F146" s="39"/>
      <c r="G146" s="39"/>
      <c r="H146" s="39"/>
      <c r="I146" s="39"/>
      <c r="J146" s="39"/>
      <c r="K146" s="39"/>
      <c r="L146" s="39"/>
      <c r="M146" s="39"/>
      <c r="N146" s="39"/>
      <c r="O146" s="39"/>
    </row>
    <row r="147" spans="4:15" x14ac:dyDescent="0.3">
      <c r="D147" s="40"/>
      <c r="E147" s="40"/>
      <c r="F147" s="39"/>
      <c r="G147" s="39"/>
      <c r="H147" s="39"/>
      <c r="I147" s="39"/>
      <c r="J147" s="39"/>
      <c r="K147" s="39"/>
      <c r="L147" s="39"/>
      <c r="M147" s="39"/>
      <c r="N147" s="39"/>
      <c r="O147" s="39"/>
    </row>
    <row r="148" spans="4:15" x14ac:dyDescent="0.3">
      <c r="D148" s="40"/>
      <c r="E148" s="40"/>
      <c r="F148" s="39"/>
      <c r="G148" s="39"/>
      <c r="H148" s="39"/>
      <c r="I148" s="39"/>
      <c r="J148" s="39"/>
      <c r="K148" s="39"/>
      <c r="L148" s="39"/>
      <c r="M148" s="39"/>
      <c r="N148" s="39"/>
      <c r="O148" s="39"/>
    </row>
    <row r="149" spans="4:15" x14ac:dyDescent="0.3">
      <c r="D149" s="40"/>
      <c r="E149" s="40"/>
      <c r="F149" s="39"/>
      <c r="G149" s="39"/>
      <c r="H149" s="39"/>
      <c r="I149" s="39"/>
      <c r="J149" s="39"/>
      <c r="K149" s="39"/>
      <c r="L149" s="39"/>
      <c r="M149" s="39"/>
      <c r="N149" s="39"/>
      <c r="O149" s="39"/>
    </row>
    <row r="150" spans="4:15" x14ac:dyDescent="0.3">
      <c r="D150" s="40"/>
      <c r="E150" s="40"/>
      <c r="F150" s="39"/>
      <c r="G150" s="39"/>
      <c r="H150" s="39"/>
      <c r="I150" s="39"/>
      <c r="J150" s="39"/>
      <c r="K150" s="39"/>
      <c r="L150" s="39"/>
      <c r="M150" s="39"/>
      <c r="N150" s="39"/>
      <c r="O150" s="39"/>
    </row>
    <row r="151" spans="4:15" x14ac:dyDescent="0.3">
      <c r="D151" s="40"/>
      <c r="E151" s="40"/>
      <c r="F151" s="39"/>
      <c r="G151" s="39"/>
      <c r="H151" s="39"/>
      <c r="I151" s="39"/>
      <c r="J151" s="39"/>
      <c r="K151" s="39"/>
      <c r="L151" s="39"/>
      <c r="M151" s="39"/>
      <c r="N151" s="39"/>
      <c r="O151" s="39"/>
    </row>
    <row r="152" spans="4:15" x14ac:dyDescent="0.3">
      <c r="D152" s="40"/>
      <c r="E152" s="40"/>
      <c r="F152" s="39"/>
      <c r="G152" s="39"/>
      <c r="H152" s="39"/>
      <c r="I152" s="39"/>
      <c r="J152" s="39"/>
      <c r="K152" s="39"/>
      <c r="L152" s="39"/>
      <c r="M152" s="39"/>
      <c r="N152" s="39"/>
      <c r="O152" s="39"/>
    </row>
    <row r="153" spans="4:15" x14ac:dyDescent="0.3">
      <c r="D153" s="40"/>
      <c r="E153" s="40"/>
      <c r="F153" s="39"/>
      <c r="G153" s="39"/>
      <c r="H153" s="39"/>
      <c r="I153" s="39"/>
      <c r="J153" s="39"/>
      <c r="K153" s="39"/>
      <c r="L153" s="39"/>
      <c r="M153" s="39"/>
      <c r="N153" s="39"/>
      <c r="O153" s="39"/>
    </row>
    <row r="154" spans="4:15" x14ac:dyDescent="0.3">
      <c r="D154" s="40"/>
      <c r="E154" s="40"/>
      <c r="F154" s="39"/>
      <c r="G154" s="39"/>
      <c r="H154" s="39"/>
      <c r="I154" s="39"/>
      <c r="J154" s="39"/>
      <c r="K154" s="39"/>
      <c r="L154" s="39"/>
      <c r="M154" s="39"/>
      <c r="N154" s="39"/>
      <c r="O154" s="39"/>
    </row>
    <row r="155" spans="4:15" x14ac:dyDescent="0.3">
      <c r="D155" s="40"/>
      <c r="E155" s="40"/>
      <c r="F155" s="39"/>
      <c r="G155" s="39"/>
      <c r="H155" s="39"/>
      <c r="I155" s="39"/>
      <c r="J155" s="39"/>
      <c r="K155" s="39"/>
      <c r="L155" s="39"/>
      <c r="M155" s="39"/>
      <c r="N155" s="39"/>
      <c r="O155" s="39"/>
    </row>
    <row r="156" spans="4:15" x14ac:dyDescent="0.3">
      <c r="D156" s="40"/>
      <c r="E156" s="40"/>
      <c r="F156" s="39"/>
      <c r="G156" s="39"/>
      <c r="H156" s="39"/>
      <c r="I156" s="39"/>
      <c r="J156" s="39"/>
      <c r="K156" s="39"/>
      <c r="L156" s="39"/>
      <c r="M156" s="39"/>
      <c r="N156" s="39"/>
      <c r="O156" s="39"/>
    </row>
    <row r="157" spans="4:15" x14ac:dyDescent="0.3">
      <c r="D157" s="40"/>
      <c r="E157" s="40"/>
      <c r="F157" s="39"/>
      <c r="G157" s="39"/>
      <c r="H157" s="39"/>
      <c r="I157" s="39"/>
      <c r="J157" s="39"/>
      <c r="K157" s="39"/>
      <c r="L157" s="39"/>
      <c r="M157" s="39"/>
      <c r="N157" s="39"/>
      <c r="O157" s="39"/>
    </row>
    <row r="158" spans="4:15" x14ac:dyDescent="0.3">
      <c r="D158" s="40"/>
      <c r="E158" s="40"/>
      <c r="F158" s="39"/>
      <c r="G158" s="39"/>
      <c r="H158" s="39"/>
      <c r="I158" s="39"/>
      <c r="J158" s="39"/>
      <c r="K158" s="39"/>
      <c r="L158" s="39"/>
      <c r="M158" s="39"/>
      <c r="N158" s="39"/>
      <c r="O158" s="39"/>
    </row>
    <row r="159" spans="4:15" x14ac:dyDescent="0.3">
      <c r="D159" s="40"/>
      <c r="E159" s="40"/>
      <c r="F159" s="39"/>
      <c r="G159" s="39"/>
      <c r="H159" s="39"/>
      <c r="I159" s="39"/>
      <c r="J159" s="39"/>
      <c r="K159" s="39"/>
      <c r="L159" s="39"/>
      <c r="M159" s="39"/>
      <c r="N159" s="39"/>
      <c r="O159" s="39"/>
    </row>
    <row r="160" spans="4:15" x14ac:dyDescent="0.3">
      <c r="D160" s="40"/>
      <c r="E160" s="40"/>
      <c r="F160" s="39"/>
      <c r="G160" s="39"/>
      <c r="H160" s="39"/>
      <c r="I160" s="39"/>
      <c r="J160" s="39"/>
      <c r="K160" s="39"/>
      <c r="L160" s="39"/>
      <c r="M160" s="39"/>
      <c r="N160" s="39"/>
      <c r="O160" s="39"/>
    </row>
    <row r="161" spans="4:15" x14ac:dyDescent="0.3">
      <c r="D161" s="40"/>
      <c r="E161" s="40"/>
      <c r="F161" s="39"/>
      <c r="G161" s="39"/>
      <c r="H161" s="39"/>
      <c r="I161" s="39"/>
      <c r="J161" s="39"/>
      <c r="K161" s="39"/>
      <c r="L161" s="39"/>
      <c r="M161" s="39"/>
      <c r="N161" s="39"/>
      <c r="O161" s="39"/>
    </row>
    <row r="162" spans="4:15" x14ac:dyDescent="0.3">
      <c r="D162" s="40"/>
      <c r="E162" s="40"/>
      <c r="F162" s="39"/>
      <c r="G162" s="39"/>
      <c r="H162" s="39"/>
      <c r="I162" s="39"/>
      <c r="J162" s="39"/>
      <c r="K162" s="39"/>
      <c r="L162" s="39"/>
      <c r="M162" s="39"/>
      <c r="N162" s="39"/>
      <c r="O162" s="39"/>
    </row>
    <row r="163" spans="4:15" x14ac:dyDescent="0.3">
      <c r="D163" s="40"/>
      <c r="E163" s="40"/>
      <c r="F163" s="39"/>
      <c r="G163" s="39"/>
      <c r="H163" s="39"/>
      <c r="I163" s="39"/>
      <c r="J163" s="39"/>
      <c r="K163" s="39"/>
      <c r="L163" s="39"/>
      <c r="M163" s="39"/>
      <c r="N163" s="39"/>
      <c r="O163" s="39"/>
    </row>
    <row r="164" spans="4:15" x14ac:dyDescent="0.3">
      <c r="D164" s="40"/>
      <c r="E164" s="40"/>
      <c r="F164" s="39"/>
      <c r="G164" s="39"/>
      <c r="H164" s="39"/>
      <c r="I164" s="39"/>
      <c r="J164" s="39"/>
      <c r="K164" s="39"/>
      <c r="L164" s="39"/>
      <c r="M164" s="39"/>
      <c r="N164" s="39"/>
      <c r="O164" s="39"/>
    </row>
    <row r="165" spans="4:15" x14ac:dyDescent="0.3">
      <c r="D165" s="40"/>
      <c r="E165" s="40"/>
      <c r="F165" s="39"/>
      <c r="G165" s="39"/>
      <c r="H165" s="39"/>
      <c r="I165" s="39"/>
      <c r="J165" s="39"/>
      <c r="K165" s="39"/>
      <c r="L165" s="39"/>
      <c r="M165" s="39"/>
      <c r="N165" s="39"/>
      <c r="O165" s="39"/>
    </row>
    <row r="166" spans="4:15" x14ac:dyDescent="0.3">
      <c r="D166" s="40"/>
      <c r="E166" s="40"/>
      <c r="F166" s="39"/>
      <c r="G166" s="39"/>
      <c r="H166" s="39"/>
      <c r="I166" s="39"/>
      <c r="J166" s="39"/>
      <c r="K166" s="39"/>
      <c r="L166" s="39"/>
      <c r="M166" s="39"/>
      <c r="N166" s="39"/>
      <c r="O166" s="39"/>
    </row>
    <row r="167" spans="4:15" x14ac:dyDescent="0.3">
      <c r="D167" s="40"/>
      <c r="E167" s="40"/>
      <c r="F167" s="39"/>
      <c r="G167" s="39"/>
      <c r="H167" s="39"/>
      <c r="I167" s="39"/>
      <c r="J167" s="39"/>
      <c r="K167" s="39"/>
      <c r="L167" s="39"/>
      <c r="M167" s="39"/>
      <c r="N167" s="39"/>
      <c r="O167" s="39"/>
    </row>
    <row r="168" spans="4:15" x14ac:dyDescent="0.3">
      <c r="D168" s="40"/>
      <c r="E168" s="40"/>
      <c r="F168" s="39"/>
      <c r="G168" s="39"/>
      <c r="H168" s="39"/>
      <c r="I168" s="39"/>
      <c r="J168" s="39"/>
      <c r="K168" s="39"/>
      <c r="L168" s="39"/>
      <c r="M168" s="39"/>
      <c r="N168" s="39"/>
      <c r="O168" s="39"/>
    </row>
    <row r="169" spans="4:15" x14ac:dyDescent="0.3">
      <c r="D169" s="40"/>
      <c r="E169" s="40"/>
      <c r="F169" s="39"/>
      <c r="G169" s="39"/>
      <c r="H169" s="39"/>
      <c r="I169" s="39"/>
      <c r="J169" s="39"/>
      <c r="K169" s="39"/>
      <c r="L169" s="39"/>
      <c r="M169" s="39"/>
      <c r="N169" s="39"/>
      <c r="O169" s="39"/>
    </row>
    <row r="170" spans="4:15" x14ac:dyDescent="0.3">
      <c r="D170" s="40"/>
      <c r="E170" s="40"/>
      <c r="F170" s="39"/>
      <c r="G170" s="39"/>
      <c r="H170" s="39"/>
      <c r="I170" s="39"/>
      <c r="J170" s="39"/>
      <c r="K170" s="39"/>
      <c r="L170" s="39"/>
      <c r="M170" s="39"/>
      <c r="N170" s="39"/>
      <c r="O170" s="39"/>
    </row>
    <row r="171" spans="4:15" x14ac:dyDescent="0.3">
      <c r="D171" s="40"/>
      <c r="E171" s="40"/>
      <c r="F171" s="39"/>
      <c r="G171" s="39"/>
      <c r="H171" s="39"/>
      <c r="I171" s="39"/>
      <c r="J171" s="39"/>
      <c r="K171" s="39"/>
      <c r="L171" s="39"/>
      <c r="M171" s="39"/>
      <c r="N171" s="39"/>
      <c r="O171" s="39"/>
    </row>
    <row r="172" spans="4:15" x14ac:dyDescent="0.3">
      <c r="D172" s="40"/>
      <c r="E172" s="40"/>
      <c r="F172" s="39"/>
      <c r="G172" s="39"/>
      <c r="H172" s="39"/>
      <c r="I172" s="39"/>
      <c r="J172" s="39"/>
      <c r="K172" s="39"/>
      <c r="L172" s="39"/>
      <c r="M172" s="39"/>
      <c r="N172" s="39"/>
      <c r="O172" s="39"/>
    </row>
    <row r="173" spans="4:15" x14ac:dyDescent="0.3">
      <c r="D173" s="40"/>
      <c r="E173" s="40"/>
      <c r="F173" s="39"/>
      <c r="G173" s="39"/>
      <c r="H173" s="39"/>
      <c r="I173" s="39"/>
      <c r="J173" s="39"/>
      <c r="K173" s="39"/>
      <c r="L173" s="39"/>
      <c r="M173" s="39"/>
      <c r="N173" s="39"/>
      <c r="O173" s="39"/>
    </row>
    <row r="174" spans="4:15" x14ac:dyDescent="0.3">
      <c r="D174" s="40"/>
      <c r="E174" s="40"/>
      <c r="F174" s="39"/>
      <c r="G174" s="39"/>
      <c r="H174" s="39"/>
      <c r="I174" s="39"/>
      <c r="J174" s="39"/>
      <c r="K174" s="39"/>
      <c r="L174" s="39"/>
      <c r="M174" s="39"/>
      <c r="N174" s="39"/>
      <c r="O174" s="39"/>
    </row>
    <row r="175" spans="4:15" x14ac:dyDescent="0.3">
      <c r="D175" s="40"/>
      <c r="E175" s="40"/>
      <c r="F175" s="39"/>
      <c r="G175" s="39"/>
      <c r="H175" s="39"/>
      <c r="I175" s="39"/>
      <c r="J175" s="39"/>
      <c r="K175" s="39"/>
      <c r="L175" s="39"/>
      <c r="M175" s="39"/>
      <c r="N175" s="39"/>
      <c r="O175" s="39"/>
    </row>
    <row r="176" spans="4:15" x14ac:dyDescent="0.3">
      <c r="D176" s="40"/>
      <c r="E176" s="40"/>
      <c r="F176" s="39"/>
      <c r="G176" s="39"/>
      <c r="H176" s="39"/>
      <c r="I176" s="39"/>
      <c r="J176" s="39"/>
      <c r="K176" s="39"/>
      <c r="L176" s="39"/>
      <c r="M176" s="39"/>
      <c r="N176" s="39"/>
      <c r="O176" s="39"/>
    </row>
    <row r="177" spans="4:15" x14ac:dyDescent="0.3">
      <c r="D177" s="40"/>
      <c r="E177" s="40"/>
      <c r="F177" s="39"/>
      <c r="G177" s="39"/>
      <c r="H177" s="39"/>
      <c r="I177" s="39"/>
      <c r="J177" s="39"/>
      <c r="K177" s="39"/>
      <c r="L177" s="39"/>
      <c r="M177" s="39"/>
      <c r="N177" s="39"/>
      <c r="O177" s="39"/>
    </row>
    <row r="178" spans="4:15" x14ac:dyDescent="0.3">
      <c r="D178" s="40"/>
      <c r="E178" s="40"/>
      <c r="F178" s="39"/>
      <c r="G178" s="39"/>
      <c r="H178" s="39"/>
      <c r="I178" s="39"/>
      <c r="J178" s="39"/>
      <c r="K178" s="39"/>
      <c r="L178" s="39"/>
      <c r="M178" s="39"/>
      <c r="N178" s="39"/>
      <c r="O178" s="39"/>
    </row>
    <row r="179" spans="4:15" x14ac:dyDescent="0.3">
      <c r="D179" s="40"/>
      <c r="E179" s="40"/>
      <c r="F179" s="39"/>
      <c r="G179" s="39"/>
      <c r="H179" s="39"/>
      <c r="I179" s="39"/>
      <c r="J179" s="39"/>
      <c r="K179" s="39"/>
      <c r="L179" s="39"/>
      <c r="M179" s="39"/>
      <c r="N179" s="39"/>
      <c r="O179" s="39"/>
    </row>
    <row r="180" spans="4:15" x14ac:dyDescent="0.3">
      <c r="D180" s="40"/>
      <c r="E180" s="40"/>
      <c r="F180" s="39"/>
      <c r="G180" s="39"/>
      <c r="H180" s="39"/>
      <c r="I180" s="39"/>
      <c r="J180" s="39"/>
      <c r="K180" s="39"/>
      <c r="L180" s="39"/>
      <c r="M180" s="39"/>
      <c r="N180" s="39"/>
      <c r="O180" s="39"/>
    </row>
    <row r="181" spans="4:15" x14ac:dyDescent="0.3">
      <c r="D181" s="40"/>
      <c r="E181" s="40"/>
      <c r="F181" s="39"/>
      <c r="G181" s="39"/>
      <c r="H181" s="39"/>
      <c r="I181" s="39"/>
      <c r="J181" s="39"/>
      <c r="K181" s="39"/>
      <c r="L181" s="39"/>
      <c r="M181" s="39"/>
      <c r="N181" s="39"/>
      <c r="O181" s="39"/>
    </row>
    <row r="182" spans="4:15" x14ac:dyDescent="0.3">
      <c r="D182" s="40"/>
      <c r="E182" s="40"/>
      <c r="F182" s="39"/>
      <c r="G182" s="39"/>
      <c r="H182" s="39"/>
      <c r="I182" s="39"/>
      <c r="J182" s="39"/>
      <c r="K182" s="39"/>
      <c r="L182" s="39"/>
      <c r="M182" s="39"/>
      <c r="N182" s="39"/>
      <c r="O182" s="39"/>
    </row>
    <row r="183" spans="4:15" x14ac:dyDescent="0.3">
      <c r="D183" s="40"/>
      <c r="E183" s="40"/>
      <c r="F183" s="39"/>
      <c r="G183" s="39"/>
      <c r="H183" s="39"/>
      <c r="I183" s="39"/>
      <c r="J183" s="39"/>
      <c r="K183" s="39"/>
      <c r="L183" s="39"/>
      <c r="M183" s="39"/>
      <c r="N183" s="39"/>
      <c r="O183" s="39"/>
    </row>
    <row r="184" spans="4:15" x14ac:dyDescent="0.3">
      <c r="D184" s="40"/>
      <c r="E184" s="40"/>
      <c r="F184" s="39"/>
      <c r="G184" s="39"/>
      <c r="H184" s="39"/>
      <c r="I184" s="39"/>
      <c r="J184" s="39"/>
      <c r="K184" s="39"/>
      <c r="L184" s="39"/>
      <c r="M184" s="39"/>
      <c r="N184" s="39"/>
      <c r="O184" s="39"/>
    </row>
    <row r="185" spans="4:15" x14ac:dyDescent="0.3">
      <c r="D185" s="40"/>
      <c r="E185" s="40"/>
      <c r="F185" s="39"/>
      <c r="G185" s="39"/>
      <c r="H185" s="39"/>
      <c r="I185" s="39"/>
      <c r="J185" s="39"/>
      <c r="K185" s="39"/>
      <c r="L185" s="39"/>
      <c r="M185" s="39"/>
      <c r="N185" s="39"/>
      <c r="O185" s="39"/>
    </row>
    <row r="186" spans="4:15" x14ac:dyDescent="0.3">
      <c r="D186" s="40"/>
      <c r="E186" s="40"/>
      <c r="F186" s="39"/>
      <c r="G186" s="39"/>
      <c r="H186" s="39"/>
      <c r="I186" s="39"/>
      <c r="J186" s="39"/>
      <c r="K186" s="39"/>
      <c r="L186" s="39"/>
      <c r="M186" s="39"/>
      <c r="N186" s="39"/>
      <c r="O186" s="39"/>
    </row>
    <row r="187" spans="4:15" x14ac:dyDescent="0.3">
      <c r="D187" s="40"/>
      <c r="E187" s="40"/>
      <c r="F187" s="39"/>
      <c r="G187" s="39"/>
      <c r="H187" s="39"/>
      <c r="I187" s="39"/>
      <c r="J187" s="39"/>
      <c r="K187" s="39"/>
      <c r="L187" s="39"/>
      <c r="M187" s="39"/>
      <c r="N187" s="39"/>
      <c r="O187" s="39"/>
    </row>
    <row r="188" spans="4:15" x14ac:dyDescent="0.3">
      <c r="D188" s="40"/>
      <c r="E188" s="40"/>
      <c r="F188" s="39"/>
      <c r="G188" s="39"/>
      <c r="H188" s="39"/>
      <c r="I188" s="39"/>
      <c r="J188" s="39"/>
      <c r="K188" s="39"/>
      <c r="L188" s="39"/>
      <c r="M188" s="39"/>
      <c r="N188" s="39"/>
      <c r="O188" s="39"/>
    </row>
    <row r="189" spans="4:15" x14ac:dyDescent="0.3">
      <c r="D189" s="40"/>
      <c r="E189" s="40"/>
      <c r="F189" s="39"/>
      <c r="G189" s="39"/>
      <c r="H189" s="39"/>
      <c r="I189" s="39"/>
      <c r="J189" s="39"/>
      <c r="K189" s="39"/>
      <c r="L189" s="39"/>
      <c r="M189" s="39"/>
      <c r="N189" s="39"/>
      <c r="O189" s="39"/>
    </row>
    <row r="190" spans="4:15" x14ac:dyDescent="0.3">
      <c r="D190" s="40"/>
      <c r="E190" s="40"/>
      <c r="F190" s="39"/>
      <c r="G190" s="39"/>
      <c r="H190" s="39"/>
      <c r="I190" s="39"/>
      <c r="J190" s="39"/>
      <c r="K190" s="39"/>
      <c r="L190" s="39"/>
      <c r="M190" s="39"/>
      <c r="N190" s="39"/>
      <c r="O190" s="39"/>
    </row>
    <row r="191" spans="4:15" x14ac:dyDescent="0.3">
      <c r="D191" s="40"/>
      <c r="E191" s="40"/>
      <c r="F191" s="39"/>
      <c r="G191" s="39"/>
      <c r="H191" s="39"/>
      <c r="I191" s="39"/>
      <c r="J191" s="39"/>
      <c r="K191" s="39"/>
      <c r="L191" s="39"/>
      <c r="M191" s="39"/>
      <c r="N191" s="39"/>
      <c r="O191" s="39"/>
    </row>
    <row r="192" spans="4:15" x14ac:dyDescent="0.3">
      <c r="D192" s="40"/>
      <c r="E192" s="40"/>
      <c r="F192" s="39"/>
      <c r="G192" s="39"/>
      <c r="H192" s="39"/>
      <c r="I192" s="39"/>
      <c r="J192" s="39"/>
      <c r="K192" s="39"/>
      <c r="L192" s="39"/>
      <c r="M192" s="39"/>
      <c r="N192" s="39"/>
      <c r="O192" s="39"/>
    </row>
    <row r="193" spans="4:15" x14ac:dyDescent="0.3">
      <c r="D193" s="40"/>
      <c r="E193" s="40"/>
      <c r="F193" s="39"/>
      <c r="G193" s="39"/>
      <c r="H193" s="39"/>
      <c r="I193" s="39"/>
      <c r="J193" s="39"/>
      <c r="K193" s="39"/>
      <c r="L193" s="39"/>
      <c r="M193" s="39"/>
      <c r="N193" s="39"/>
      <c r="O193" s="39"/>
    </row>
    <row r="194" spans="4:15" x14ac:dyDescent="0.3">
      <c r="D194" s="40"/>
      <c r="E194" s="40"/>
      <c r="F194" s="39"/>
      <c r="G194" s="39"/>
      <c r="H194" s="39"/>
      <c r="I194" s="39"/>
      <c r="J194" s="39"/>
      <c r="K194" s="39"/>
      <c r="L194" s="39"/>
      <c r="M194" s="39"/>
      <c r="N194" s="39"/>
      <c r="O194" s="39"/>
    </row>
    <row r="195" spans="4:15" x14ac:dyDescent="0.3">
      <c r="D195" s="40"/>
      <c r="E195" s="40"/>
      <c r="F195" s="39"/>
      <c r="G195" s="39"/>
      <c r="H195" s="39"/>
      <c r="I195" s="39"/>
      <c r="J195" s="39"/>
      <c r="K195" s="39"/>
      <c r="L195" s="39"/>
      <c r="M195" s="39"/>
      <c r="N195" s="39"/>
      <c r="O195" s="39"/>
    </row>
    <row r="196" spans="4:15" x14ac:dyDescent="0.3">
      <c r="D196" s="40"/>
      <c r="E196" s="40"/>
      <c r="F196" s="39"/>
      <c r="G196" s="39"/>
      <c r="H196" s="39"/>
      <c r="I196" s="39"/>
      <c r="J196" s="39"/>
      <c r="K196" s="39"/>
      <c r="L196" s="39"/>
      <c r="M196" s="39"/>
      <c r="N196" s="39"/>
      <c r="O196" s="39"/>
    </row>
    <row r="197" spans="4:15" x14ac:dyDescent="0.3">
      <c r="D197" s="40"/>
      <c r="E197" s="40"/>
      <c r="F197" s="39"/>
      <c r="G197" s="39"/>
      <c r="H197" s="39"/>
      <c r="I197" s="39"/>
      <c r="J197" s="39"/>
      <c r="K197" s="39"/>
      <c r="L197" s="39"/>
      <c r="M197" s="39"/>
      <c r="N197" s="39"/>
      <c r="O197" s="39"/>
    </row>
    <row r="198" spans="4:15" x14ac:dyDescent="0.3">
      <c r="D198" s="40"/>
      <c r="E198" s="40"/>
      <c r="F198" s="39"/>
      <c r="G198" s="39"/>
      <c r="H198" s="39"/>
      <c r="I198" s="39"/>
      <c r="J198" s="39"/>
      <c r="K198" s="39"/>
      <c r="L198" s="39"/>
      <c r="M198" s="39"/>
      <c r="N198" s="39"/>
      <c r="O198" s="39"/>
    </row>
    <row r="199" spans="4:15" x14ac:dyDescent="0.3">
      <c r="D199" s="40"/>
      <c r="E199" s="40"/>
      <c r="F199" s="39"/>
      <c r="G199" s="39"/>
      <c r="H199" s="39"/>
      <c r="I199" s="39"/>
      <c r="J199" s="39"/>
      <c r="K199" s="39"/>
      <c r="L199" s="39"/>
      <c r="M199" s="39"/>
      <c r="N199" s="39"/>
      <c r="O199" s="39"/>
    </row>
    <row r="200" spans="4:15" x14ac:dyDescent="0.3">
      <c r="D200" s="40"/>
      <c r="E200" s="40"/>
      <c r="F200" s="39"/>
      <c r="G200" s="39"/>
      <c r="H200" s="39"/>
      <c r="I200" s="39"/>
      <c r="J200" s="39"/>
      <c r="K200" s="39"/>
      <c r="L200" s="39"/>
      <c r="M200" s="39"/>
      <c r="N200" s="39"/>
      <c r="O200" s="39"/>
    </row>
    <row r="201" spans="4:15" x14ac:dyDescent="0.3">
      <c r="D201" s="40"/>
      <c r="E201" s="40"/>
      <c r="F201" s="39"/>
      <c r="G201" s="39"/>
      <c r="H201" s="39"/>
      <c r="I201" s="39"/>
      <c r="J201" s="39"/>
      <c r="K201" s="39"/>
      <c r="L201" s="39"/>
      <c r="M201" s="39"/>
      <c r="N201" s="39"/>
      <c r="O201" s="39"/>
    </row>
    <row r="202" spans="4:15" x14ac:dyDescent="0.3">
      <c r="D202" s="40"/>
      <c r="E202" s="40"/>
      <c r="F202" s="39"/>
      <c r="G202" s="39"/>
      <c r="H202" s="39"/>
      <c r="I202" s="39"/>
      <c r="J202" s="39"/>
      <c r="K202" s="39"/>
      <c r="L202" s="39"/>
      <c r="M202" s="39"/>
      <c r="N202" s="39"/>
      <c r="O202" s="39"/>
    </row>
    <row r="203" spans="4:15" x14ac:dyDescent="0.3">
      <c r="D203" s="40"/>
      <c r="E203" s="40"/>
      <c r="F203" s="39"/>
      <c r="G203" s="39"/>
      <c r="H203" s="39"/>
      <c r="I203" s="39"/>
      <c r="J203" s="39"/>
      <c r="K203" s="39"/>
      <c r="L203" s="39"/>
      <c r="M203" s="39"/>
      <c r="N203" s="39"/>
      <c r="O203" s="39"/>
    </row>
    <row r="204" spans="4:15" x14ac:dyDescent="0.3">
      <c r="D204" s="40"/>
      <c r="E204" s="40"/>
      <c r="F204" s="39"/>
      <c r="G204" s="39"/>
      <c r="H204" s="39"/>
      <c r="I204" s="39"/>
      <c r="J204" s="39"/>
      <c r="K204" s="39"/>
      <c r="L204" s="39"/>
      <c r="M204" s="39"/>
      <c r="N204" s="39"/>
      <c r="O204" s="39"/>
    </row>
    <row r="205" spans="4:15" x14ac:dyDescent="0.3">
      <c r="D205" s="40"/>
      <c r="E205" s="40"/>
      <c r="F205" s="39"/>
      <c r="G205" s="39"/>
      <c r="H205" s="39"/>
      <c r="I205" s="39"/>
      <c r="J205" s="39"/>
      <c r="K205" s="39"/>
      <c r="L205" s="39"/>
      <c r="M205" s="39"/>
      <c r="N205" s="39"/>
      <c r="O205" s="39"/>
    </row>
    <row r="206" spans="4:15" x14ac:dyDescent="0.3">
      <c r="D206" s="40"/>
      <c r="E206" s="40"/>
      <c r="F206" s="39"/>
      <c r="G206" s="39"/>
      <c r="H206" s="39"/>
      <c r="I206" s="39"/>
      <c r="J206" s="39"/>
      <c r="K206" s="39"/>
      <c r="L206" s="39"/>
      <c r="M206" s="39"/>
      <c r="N206" s="39"/>
      <c r="O206" s="39"/>
    </row>
    <row r="207" spans="4:15" x14ac:dyDescent="0.3">
      <c r="D207" s="40"/>
      <c r="E207" s="40"/>
      <c r="F207" s="39"/>
      <c r="G207" s="39"/>
      <c r="H207" s="39"/>
      <c r="I207" s="39"/>
      <c r="J207" s="39"/>
      <c r="K207" s="39"/>
      <c r="L207" s="39"/>
      <c r="M207" s="39"/>
      <c r="N207" s="39"/>
      <c r="O207" s="39"/>
    </row>
    <row r="208" spans="4:15" x14ac:dyDescent="0.3">
      <c r="D208" s="40"/>
      <c r="E208" s="40"/>
      <c r="F208" s="39"/>
      <c r="G208" s="39"/>
      <c r="H208" s="39"/>
      <c r="I208" s="39"/>
      <c r="J208" s="39"/>
      <c r="K208" s="39"/>
      <c r="L208" s="39"/>
      <c r="M208" s="39"/>
      <c r="N208" s="39"/>
      <c r="O208" s="39"/>
    </row>
    <row r="209" spans="4:15" x14ac:dyDescent="0.3">
      <c r="D209" s="40"/>
      <c r="E209" s="40"/>
      <c r="F209" s="39"/>
      <c r="G209" s="39"/>
      <c r="H209" s="39"/>
      <c r="I209" s="39"/>
      <c r="J209" s="39"/>
      <c r="K209" s="39"/>
      <c r="L209" s="39"/>
      <c r="M209" s="39"/>
      <c r="N209" s="39"/>
      <c r="O209" s="39"/>
    </row>
    <row r="210" spans="4:15" x14ac:dyDescent="0.3">
      <c r="D210" s="40"/>
      <c r="E210" s="40"/>
      <c r="F210" s="39"/>
      <c r="G210" s="39"/>
      <c r="H210" s="39"/>
      <c r="I210" s="39"/>
      <c r="J210" s="39"/>
      <c r="K210" s="39"/>
      <c r="L210" s="39"/>
      <c r="M210" s="39"/>
      <c r="N210" s="39"/>
      <c r="O210" s="39"/>
    </row>
    <row r="211" spans="4:15" x14ac:dyDescent="0.3">
      <c r="D211" s="40"/>
      <c r="E211" s="40"/>
      <c r="F211" s="39"/>
      <c r="G211" s="39"/>
      <c r="H211" s="39"/>
      <c r="I211" s="39"/>
      <c r="J211" s="39"/>
      <c r="K211" s="39"/>
      <c r="L211" s="39"/>
      <c r="M211" s="39"/>
      <c r="N211" s="39"/>
      <c r="O211" s="39"/>
    </row>
    <row r="212" spans="4:15" x14ac:dyDescent="0.3">
      <c r="D212" s="40"/>
      <c r="E212" s="40"/>
      <c r="F212" s="39"/>
      <c r="G212" s="39"/>
      <c r="H212" s="39"/>
      <c r="I212" s="39"/>
      <c r="J212" s="39"/>
      <c r="K212" s="39"/>
      <c r="L212" s="39"/>
      <c r="M212" s="39"/>
      <c r="N212" s="39"/>
      <c r="O212" s="39"/>
    </row>
    <row r="213" spans="4:15" x14ac:dyDescent="0.3">
      <c r="D213" s="40"/>
      <c r="E213" s="40"/>
      <c r="F213" s="39"/>
      <c r="G213" s="39"/>
      <c r="H213" s="39"/>
      <c r="I213" s="39"/>
      <c r="J213" s="39"/>
      <c r="K213" s="39"/>
      <c r="L213" s="39"/>
      <c r="M213" s="39"/>
      <c r="N213" s="39"/>
      <c r="O213" s="39"/>
    </row>
    <row r="214" spans="4:15" x14ac:dyDescent="0.3">
      <c r="D214" s="40"/>
      <c r="E214" s="40"/>
      <c r="F214" s="39"/>
      <c r="G214" s="39"/>
      <c r="H214" s="39"/>
      <c r="I214" s="39"/>
      <c r="J214" s="39"/>
      <c r="K214" s="39"/>
      <c r="L214" s="39"/>
      <c r="M214" s="39"/>
      <c r="N214" s="39"/>
      <c r="O214" s="39"/>
    </row>
    <row r="215" spans="4:15" x14ac:dyDescent="0.3">
      <c r="D215" s="40"/>
      <c r="E215" s="40"/>
      <c r="F215" s="39"/>
      <c r="G215" s="39"/>
      <c r="H215" s="39"/>
      <c r="I215" s="39"/>
      <c r="J215" s="39"/>
      <c r="K215" s="39"/>
      <c r="L215" s="39"/>
      <c r="M215" s="39"/>
      <c r="N215" s="39"/>
      <c r="O215" s="39"/>
    </row>
    <row r="216" spans="4:15" x14ac:dyDescent="0.3">
      <c r="D216" s="40"/>
      <c r="E216" s="40"/>
      <c r="F216" s="39"/>
      <c r="G216" s="39"/>
      <c r="H216" s="39"/>
      <c r="I216" s="39"/>
      <c r="J216" s="39"/>
      <c r="K216" s="39"/>
      <c r="L216" s="39"/>
      <c r="M216" s="39"/>
      <c r="N216" s="39"/>
      <c r="O216" s="39"/>
    </row>
    <row r="217" spans="4:15" x14ac:dyDescent="0.3">
      <c r="D217" s="40"/>
      <c r="E217" s="40"/>
      <c r="F217" s="39"/>
      <c r="G217" s="39"/>
      <c r="H217" s="39"/>
      <c r="I217" s="39"/>
      <c r="J217" s="39"/>
      <c r="K217" s="39"/>
      <c r="L217" s="39"/>
      <c r="M217" s="39"/>
      <c r="N217" s="39"/>
      <c r="O217" s="39"/>
    </row>
    <row r="218" spans="4:15" x14ac:dyDescent="0.3">
      <c r="D218" s="40"/>
      <c r="E218" s="40"/>
      <c r="F218" s="39"/>
      <c r="G218" s="39"/>
      <c r="H218" s="39"/>
      <c r="I218" s="39"/>
      <c r="J218" s="39"/>
      <c r="K218" s="39"/>
      <c r="L218" s="39"/>
      <c r="M218" s="39"/>
      <c r="N218" s="39"/>
      <c r="O218" s="39"/>
    </row>
    <row r="219" spans="4:15" x14ac:dyDescent="0.3">
      <c r="D219" s="40"/>
      <c r="E219" s="40"/>
      <c r="F219" s="39"/>
      <c r="G219" s="39"/>
      <c r="H219" s="39"/>
      <c r="I219" s="39"/>
      <c r="J219" s="39"/>
      <c r="K219" s="39"/>
      <c r="L219" s="39"/>
      <c r="M219" s="39"/>
      <c r="N219" s="39"/>
      <c r="O219" s="39"/>
    </row>
    <row r="220" spans="4:15" x14ac:dyDescent="0.3">
      <c r="D220" s="40"/>
      <c r="E220" s="40"/>
      <c r="F220" s="39"/>
      <c r="G220" s="39"/>
      <c r="H220" s="39"/>
      <c r="I220" s="39"/>
      <c r="J220" s="39"/>
      <c r="K220" s="39"/>
      <c r="L220" s="39"/>
      <c r="M220" s="39"/>
      <c r="N220" s="39"/>
      <c r="O220" s="39"/>
    </row>
    <row r="221" spans="4:15" x14ac:dyDescent="0.3">
      <c r="D221" s="40"/>
      <c r="E221" s="40"/>
      <c r="F221" s="39"/>
      <c r="G221" s="39"/>
      <c r="H221" s="39"/>
      <c r="I221" s="39"/>
      <c r="J221" s="39"/>
      <c r="K221" s="39"/>
      <c r="L221" s="39"/>
      <c r="M221" s="39"/>
      <c r="N221" s="39"/>
      <c r="O221" s="39"/>
    </row>
    <row r="222" spans="4:15" x14ac:dyDescent="0.3">
      <c r="D222" s="40"/>
      <c r="E222" s="40"/>
      <c r="F222" s="39"/>
      <c r="G222" s="39"/>
      <c r="H222" s="39"/>
      <c r="I222" s="39"/>
      <c r="J222" s="39"/>
      <c r="K222" s="39"/>
      <c r="L222" s="39"/>
      <c r="M222" s="39"/>
      <c r="N222" s="39"/>
      <c r="O222" s="39"/>
    </row>
    <row r="223" spans="4:15" x14ac:dyDescent="0.3">
      <c r="D223" s="40"/>
      <c r="E223" s="40"/>
      <c r="F223" s="39"/>
      <c r="G223" s="39"/>
      <c r="H223" s="39"/>
      <c r="I223" s="39"/>
      <c r="J223" s="39"/>
      <c r="K223" s="39"/>
      <c r="L223" s="39"/>
      <c r="M223" s="39"/>
      <c r="N223" s="39"/>
      <c r="O223" s="39"/>
    </row>
    <row r="224" spans="4:15" x14ac:dyDescent="0.3">
      <c r="D224" s="40"/>
      <c r="E224" s="40"/>
      <c r="F224" s="39"/>
      <c r="G224" s="39"/>
      <c r="H224" s="39"/>
      <c r="I224" s="39"/>
      <c r="J224" s="39"/>
      <c r="K224" s="39"/>
      <c r="L224" s="39"/>
      <c r="M224" s="39"/>
      <c r="N224" s="39"/>
      <c r="O224" s="39"/>
    </row>
    <row r="225" spans="4:15" x14ac:dyDescent="0.3">
      <c r="D225" s="40"/>
      <c r="E225" s="40"/>
      <c r="F225" s="39"/>
      <c r="G225" s="39"/>
      <c r="H225" s="39"/>
      <c r="I225" s="39"/>
      <c r="J225" s="39"/>
      <c r="K225" s="39"/>
      <c r="L225" s="39"/>
      <c r="M225" s="39"/>
      <c r="N225" s="39"/>
      <c r="O225" s="39"/>
    </row>
    <row r="226" spans="4:15" x14ac:dyDescent="0.3">
      <c r="D226" s="40"/>
      <c r="E226" s="40"/>
      <c r="F226" s="39"/>
      <c r="G226" s="39"/>
      <c r="H226" s="39"/>
      <c r="I226" s="39"/>
      <c r="J226" s="39"/>
      <c r="K226" s="39"/>
      <c r="L226" s="39"/>
      <c r="M226" s="39"/>
      <c r="N226" s="39"/>
      <c r="O226" s="39"/>
    </row>
    <row r="227" spans="4:15" x14ac:dyDescent="0.3">
      <c r="D227" s="40"/>
      <c r="E227" s="40"/>
      <c r="F227" s="39"/>
      <c r="G227" s="39"/>
      <c r="H227" s="39"/>
      <c r="I227" s="39"/>
      <c r="J227" s="39"/>
      <c r="K227" s="39"/>
      <c r="L227" s="39"/>
      <c r="M227" s="39"/>
      <c r="N227" s="39"/>
      <c r="O227" s="39"/>
    </row>
    <row r="228" spans="4:15" x14ac:dyDescent="0.3">
      <c r="D228" s="40"/>
      <c r="E228" s="40"/>
      <c r="F228" s="39"/>
      <c r="G228" s="39"/>
      <c r="H228" s="39"/>
      <c r="I228" s="39"/>
      <c r="J228" s="39"/>
      <c r="K228" s="39"/>
      <c r="L228" s="39"/>
      <c r="M228" s="39"/>
      <c r="N228" s="39"/>
      <c r="O228" s="39"/>
    </row>
    <row r="229" spans="4:15" x14ac:dyDescent="0.3">
      <c r="D229" s="40"/>
      <c r="E229" s="40"/>
      <c r="F229" s="39"/>
      <c r="G229" s="39"/>
      <c r="H229" s="39"/>
      <c r="I229" s="39"/>
      <c r="J229" s="39"/>
      <c r="K229" s="39"/>
      <c r="L229" s="39"/>
      <c r="M229" s="39"/>
      <c r="N229" s="39"/>
      <c r="O229" s="39"/>
    </row>
    <row r="230" spans="4:15" x14ac:dyDescent="0.3">
      <c r="D230" s="40"/>
      <c r="E230" s="40"/>
      <c r="F230" s="39"/>
      <c r="G230" s="39"/>
      <c r="H230" s="39"/>
      <c r="I230" s="39"/>
      <c r="J230" s="39"/>
      <c r="K230" s="39"/>
      <c r="L230" s="39"/>
      <c r="M230" s="39"/>
      <c r="N230" s="39"/>
      <c r="O230" s="39"/>
    </row>
    <row r="231" spans="4:15" x14ac:dyDescent="0.3">
      <c r="D231" s="40"/>
      <c r="E231" s="40"/>
      <c r="F231" s="39"/>
      <c r="G231" s="39"/>
      <c r="H231" s="39"/>
      <c r="I231" s="39"/>
      <c r="J231" s="39"/>
      <c r="K231" s="39"/>
      <c r="L231" s="39"/>
      <c r="M231" s="39"/>
      <c r="N231" s="39"/>
      <c r="O231" s="39"/>
    </row>
    <row r="232" spans="4:15" x14ac:dyDescent="0.3">
      <c r="D232" s="40"/>
      <c r="E232" s="40"/>
      <c r="F232" s="39"/>
      <c r="G232" s="39"/>
      <c r="H232" s="39"/>
      <c r="I232" s="39"/>
      <c r="J232" s="39"/>
      <c r="K232" s="39"/>
      <c r="L232" s="39"/>
      <c r="M232" s="39"/>
      <c r="N232" s="39"/>
      <c r="O232" s="39"/>
    </row>
    <row r="233" spans="4:15" x14ac:dyDescent="0.3">
      <c r="D233" s="40"/>
      <c r="E233" s="40"/>
      <c r="F233" s="39"/>
      <c r="G233" s="39"/>
      <c r="H233" s="39"/>
      <c r="I233" s="39"/>
      <c r="J233" s="39"/>
      <c r="K233" s="39"/>
      <c r="L233" s="39"/>
      <c r="M233" s="39"/>
      <c r="N233" s="39"/>
      <c r="O233" s="39"/>
    </row>
    <row r="234" spans="4:15" x14ac:dyDescent="0.3">
      <c r="D234" s="40"/>
      <c r="E234" s="40"/>
      <c r="F234" s="39"/>
      <c r="G234" s="39"/>
      <c r="H234" s="39"/>
      <c r="I234" s="39"/>
      <c r="J234" s="39"/>
      <c r="K234" s="39"/>
      <c r="L234" s="39"/>
      <c r="M234" s="39"/>
      <c r="N234" s="39"/>
      <c r="O234" s="39"/>
    </row>
    <row r="235" spans="4:15" x14ac:dyDescent="0.3">
      <c r="D235" s="40"/>
      <c r="E235" s="40"/>
      <c r="F235" s="39"/>
      <c r="G235" s="39"/>
      <c r="H235" s="39"/>
      <c r="I235" s="39"/>
      <c r="J235" s="39"/>
      <c r="K235" s="39"/>
      <c r="L235" s="39"/>
      <c r="M235" s="39"/>
      <c r="N235" s="39"/>
      <c r="O235" s="39"/>
    </row>
    <row r="236" spans="4:15" x14ac:dyDescent="0.3">
      <c r="D236" s="40"/>
      <c r="E236" s="40"/>
      <c r="F236" s="39"/>
      <c r="G236" s="39"/>
      <c r="H236" s="39"/>
      <c r="I236" s="39"/>
      <c r="J236" s="39"/>
      <c r="K236" s="39"/>
      <c r="L236" s="39"/>
      <c r="M236" s="39"/>
      <c r="N236" s="39"/>
      <c r="O236" s="39"/>
    </row>
    <row r="237" spans="4:15" x14ac:dyDescent="0.3">
      <c r="D237" s="40"/>
      <c r="E237" s="40"/>
      <c r="F237" s="39"/>
      <c r="G237" s="39"/>
      <c r="H237" s="39"/>
      <c r="I237" s="39"/>
      <c r="J237" s="39"/>
      <c r="K237" s="39"/>
      <c r="L237" s="39"/>
      <c r="M237" s="39"/>
      <c r="N237" s="39"/>
      <c r="O237" s="39"/>
    </row>
    <row r="238" spans="4:15" x14ac:dyDescent="0.3">
      <c r="D238" s="40"/>
      <c r="E238" s="40"/>
      <c r="F238" s="39"/>
      <c r="G238" s="39"/>
      <c r="H238" s="39"/>
      <c r="I238" s="39"/>
      <c r="J238" s="39"/>
      <c r="K238" s="39"/>
      <c r="L238" s="39"/>
      <c r="M238" s="39"/>
      <c r="N238" s="39"/>
      <c r="O238" s="39"/>
    </row>
    <row r="239" spans="4:15" x14ac:dyDescent="0.3">
      <c r="D239" s="40"/>
      <c r="E239" s="40"/>
      <c r="F239" s="39"/>
      <c r="G239" s="39"/>
      <c r="H239" s="39"/>
      <c r="I239" s="39"/>
      <c r="J239" s="39"/>
      <c r="K239" s="39"/>
      <c r="L239" s="39"/>
      <c r="M239" s="39"/>
      <c r="N239" s="39"/>
      <c r="O239" s="39"/>
    </row>
    <row r="240" spans="4:15" x14ac:dyDescent="0.3">
      <c r="D240" s="40"/>
      <c r="E240" s="40"/>
      <c r="F240" s="39"/>
      <c r="G240" s="39"/>
      <c r="H240" s="39"/>
      <c r="I240" s="39"/>
      <c r="J240" s="39"/>
      <c r="K240" s="39"/>
      <c r="L240" s="39"/>
      <c r="M240" s="39"/>
      <c r="N240" s="39"/>
      <c r="O240" s="39"/>
    </row>
    <row r="241" spans="4:15" x14ac:dyDescent="0.3">
      <c r="D241" s="40"/>
      <c r="E241" s="40"/>
      <c r="F241" s="39"/>
      <c r="G241" s="39"/>
      <c r="H241" s="39"/>
      <c r="I241" s="39"/>
      <c r="J241" s="39"/>
      <c r="K241" s="39"/>
      <c r="L241" s="39"/>
      <c r="M241" s="39"/>
      <c r="N241" s="39"/>
      <c r="O241" s="39"/>
    </row>
    <row r="242" spans="4:15" x14ac:dyDescent="0.3">
      <c r="D242" s="40"/>
      <c r="E242" s="40"/>
      <c r="F242" s="39"/>
      <c r="G242" s="39"/>
      <c r="H242" s="39"/>
      <c r="I242" s="39"/>
      <c r="J242" s="39"/>
      <c r="K242" s="39"/>
      <c r="L242" s="39"/>
      <c r="M242" s="39"/>
      <c r="N242" s="39"/>
      <c r="O242" s="39"/>
    </row>
    <row r="243" spans="4:15" x14ac:dyDescent="0.3">
      <c r="D243" s="40"/>
      <c r="E243" s="40"/>
      <c r="F243" s="39"/>
      <c r="G243" s="39"/>
      <c r="H243" s="39"/>
      <c r="I243" s="39"/>
      <c r="J243" s="39"/>
      <c r="K243" s="39"/>
      <c r="L243" s="39"/>
      <c r="M243" s="39"/>
      <c r="N243" s="39"/>
      <c r="O243" s="39"/>
    </row>
    <row r="244" spans="4:15" x14ac:dyDescent="0.3">
      <c r="D244" s="40"/>
      <c r="E244" s="40"/>
      <c r="F244" s="39"/>
      <c r="G244" s="39"/>
      <c r="H244" s="39"/>
      <c r="I244" s="39"/>
      <c r="J244" s="39"/>
      <c r="K244" s="39"/>
      <c r="L244" s="39"/>
      <c r="M244" s="39"/>
      <c r="N244" s="39"/>
      <c r="O244" s="39"/>
    </row>
    <row r="245" spans="4:15" x14ac:dyDescent="0.3">
      <c r="D245" s="40"/>
      <c r="E245" s="40"/>
      <c r="F245" s="39"/>
      <c r="G245" s="39"/>
      <c r="H245" s="39"/>
      <c r="I245" s="39"/>
      <c r="J245" s="39"/>
      <c r="K245" s="39"/>
      <c r="L245" s="39"/>
      <c r="M245" s="39"/>
      <c r="N245" s="39"/>
      <c r="O245" s="39"/>
    </row>
    <row r="246" spans="4:15" x14ac:dyDescent="0.3">
      <c r="D246" s="40"/>
      <c r="E246" s="40"/>
      <c r="F246" s="39"/>
      <c r="G246" s="39"/>
      <c r="H246" s="39"/>
      <c r="I246" s="39"/>
      <c r="J246" s="39"/>
      <c r="K246" s="39"/>
      <c r="L246" s="39"/>
      <c r="M246" s="39"/>
      <c r="N246" s="39"/>
      <c r="O246" s="39"/>
    </row>
    <row r="247" spans="4:15" x14ac:dyDescent="0.3">
      <c r="D247" s="40"/>
      <c r="E247" s="40"/>
      <c r="F247" s="39"/>
      <c r="G247" s="39"/>
      <c r="H247" s="39"/>
      <c r="I247" s="39"/>
      <c r="J247" s="39"/>
      <c r="K247" s="39"/>
      <c r="L247" s="39"/>
      <c r="M247" s="39"/>
      <c r="N247" s="39"/>
      <c r="O247" s="39"/>
    </row>
    <row r="248" spans="4:15" x14ac:dyDescent="0.3">
      <c r="D248" s="40"/>
      <c r="E248" s="40"/>
      <c r="F248" s="39"/>
      <c r="G248" s="39"/>
      <c r="H248" s="39"/>
      <c r="I248" s="39"/>
      <c r="J248" s="39"/>
      <c r="K248" s="39"/>
      <c r="L248" s="39"/>
      <c r="M248" s="39"/>
      <c r="N248" s="39"/>
      <c r="O248" s="39"/>
    </row>
    <row r="249" spans="4:15" x14ac:dyDescent="0.3">
      <c r="D249" s="40"/>
      <c r="E249" s="40"/>
      <c r="F249" s="39"/>
      <c r="G249" s="39"/>
      <c r="H249" s="39"/>
      <c r="I249" s="39"/>
      <c r="J249" s="39"/>
      <c r="K249" s="39"/>
      <c r="L249" s="39"/>
      <c r="M249" s="39"/>
      <c r="N249" s="39"/>
      <c r="O249" s="39"/>
    </row>
    <row r="250" spans="4:15" x14ac:dyDescent="0.3">
      <c r="D250" s="40"/>
      <c r="E250" s="40"/>
      <c r="F250" s="39"/>
      <c r="G250" s="39"/>
      <c r="H250" s="39"/>
      <c r="I250" s="39"/>
      <c r="J250" s="39"/>
      <c r="K250" s="39"/>
      <c r="L250" s="39"/>
      <c r="M250" s="39"/>
      <c r="N250" s="39"/>
      <c r="O250" s="39"/>
    </row>
    <row r="251" spans="4:15" x14ac:dyDescent="0.3">
      <c r="D251" s="40"/>
      <c r="E251" s="40"/>
      <c r="F251" s="39"/>
      <c r="G251" s="39"/>
      <c r="H251" s="39"/>
      <c r="I251" s="39"/>
      <c r="J251" s="39"/>
      <c r="K251" s="39"/>
      <c r="L251" s="39"/>
      <c r="M251" s="39"/>
      <c r="N251" s="39"/>
      <c r="O251" s="39"/>
    </row>
    <row r="252" spans="4:15" x14ac:dyDescent="0.3">
      <c r="D252" s="40"/>
      <c r="E252" s="40"/>
      <c r="F252" s="39"/>
      <c r="G252" s="39"/>
      <c r="H252" s="39"/>
      <c r="I252" s="39"/>
      <c r="J252" s="39"/>
      <c r="K252" s="39"/>
      <c r="L252" s="39"/>
      <c r="M252" s="39"/>
      <c r="N252" s="39"/>
      <c r="O252" s="39"/>
    </row>
    <row r="253" spans="4:15" x14ac:dyDescent="0.3">
      <c r="D253" s="40"/>
      <c r="E253" s="40"/>
      <c r="F253" s="39"/>
      <c r="G253" s="39"/>
      <c r="H253" s="39"/>
      <c r="I253" s="39"/>
      <c r="J253" s="39"/>
      <c r="K253" s="39"/>
      <c r="L253" s="39"/>
      <c r="M253" s="39"/>
      <c r="N253" s="39"/>
      <c r="O253" s="39"/>
    </row>
    <row r="254" spans="4:15" x14ac:dyDescent="0.3">
      <c r="D254" s="40"/>
      <c r="E254" s="40"/>
      <c r="F254" s="39"/>
      <c r="G254" s="39"/>
      <c r="H254" s="39"/>
      <c r="I254" s="39"/>
      <c r="J254" s="39"/>
      <c r="K254" s="39"/>
      <c r="L254" s="39"/>
      <c r="M254" s="39"/>
      <c r="N254" s="39"/>
      <c r="O254" s="39"/>
    </row>
    <row r="255" spans="4:15" x14ac:dyDescent="0.3">
      <c r="D255" s="40"/>
      <c r="E255" s="40"/>
      <c r="F255" s="39"/>
      <c r="G255" s="39"/>
      <c r="H255" s="39"/>
      <c r="I255" s="39"/>
      <c r="J255" s="39"/>
      <c r="K255" s="39"/>
      <c r="L255" s="39"/>
      <c r="M255" s="39"/>
      <c r="N255" s="39"/>
      <c r="O255" s="39"/>
    </row>
    <row r="256" spans="4:15" x14ac:dyDescent="0.3">
      <c r="D256" s="40"/>
      <c r="E256" s="40"/>
      <c r="F256" s="39"/>
      <c r="G256" s="39"/>
      <c r="H256" s="39"/>
      <c r="I256" s="39"/>
      <c r="J256" s="39"/>
      <c r="K256" s="39"/>
      <c r="L256" s="39"/>
      <c r="M256" s="39"/>
      <c r="N256" s="39"/>
      <c r="O256" s="39"/>
    </row>
    <row r="257" spans="4:15" x14ac:dyDescent="0.3">
      <c r="D257" s="40"/>
      <c r="E257" s="40"/>
      <c r="F257" s="39"/>
      <c r="G257" s="39"/>
      <c r="H257" s="39"/>
      <c r="I257" s="39"/>
      <c r="J257" s="39"/>
      <c r="K257" s="39"/>
      <c r="L257" s="39"/>
      <c r="M257" s="39"/>
      <c r="N257" s="39"/>
      <c r="O257" s="39"/>
    </row>
    <row r="258" spans="4:15" x14ac:dyDescent="0.3">
      <c r="D258" s="40"/>
      <c r="E258" s="40"/>
      <c r="F258" s="39"/>
      <c r="G258" s="39"/>
      <c r="H258" s="39"/>
      <c r="I258" s="39"/>
      <c r="J258" s="39"/>
      <c r="K258" s="39"/>
      <c r="L258" s="39"/>
      <c r="M258" s="39"/>
      <c r="N258" s="39"/>
      <c r="O258" s="39"/>
    </row>
    <row r="259" spans="4:15" x14ac:dyDescent="0.3">
      <c r="D259" s="40"/>
      <c r="E259" s="40"/>
      <c r="F259" s="39"/>
      <c r="G259" s="39"/>
      <c r="H259" s="39"/>
      <c r="I259" s="39"/>
      <c r="J259" s="39"/>
      <c r="K259" s="39"/>
      <c r="L259" s="39"/>
      <c r="M259" s="39"/>
      <c r="N259" s="39"/>
      <c r="O259" s="39"/>
    </row>
    <row r="260" spans="4:15" x14ac:dyDescent="0.3">
      <c r="D260" s="40"/>
      <c r="E260" s="40"/>
      <c r="F260" s="39"/>
      <c r="G260" s="39"/>
      <c r="H260" s="39"/>
      <c r="I260" s="39"/>
      <c r="J260" s="39"/>
      <c r="K260" s="39"/>
      <c r="L260" s="39"/>
      <c r="M260" s="39"/>
      <c r="N260" s="39"/>
      <c r="O260" s="39"/>
    </row>
    <row r="261" spans="4:15" x14ac:dyDescent="0.3">
      <c r="D261" s="40"/>
      <c r="E261" s="40"/>
      <c r="F261" s="39"/>
      <c r="G261" s="39"/>
      <c r="H261" s="39"/>
      <c r="I261" s="39"/>
      <c r="J261" s="39"/>
      <c r="K261" s="39"/>
      <c r="L261" s="39"/>
      <c r="M261" s="39"/>
      <c r="N261" s="39"/>
      <c r="O261" s="39"/>
    </row>
    <row r="262" spans="4:15" x14ac:dyDescent="0.3">
      <c r="D262" s="40"/>
      <c r="E262" s="40"/>
      <c r="F262" s="39"/>
      <c r="G262" s="39"/>
      <c r="H262" s="39"/>
      <c r="I262" s="39"/>
      <c r="J262" s="39"/>
      <c r="K262" s="39"/>
      <c r="L262" s="39"/>
      <c r="M262" s="39"/>
      <c r="N262" s="39"/>
      <c r="O262" s="39"/>
    </row>
    <row r="263" spans="4:15" x14ac:dyDescent="0.3">
      <c r="D263" s="40"/>
      <c r="E263" s="40"/>
      <c r="F263" s="39"/>
      <c r="G263" s="39"/>
      <c r="H263" s="39"/>
      <c r="I263" s="39"/>
      <c r="J263" s="39"/>
      <c r="K263" s="39"/>
      <c r="L263" s="39"/>
      <c r="M263" s="39"/>
      <c r="N263" s="39"/>
      <c r="O263" s="39"/>
    </row>
    <row r="264" spans="4:15" x14ac:dyDescent="0.3">
      <c r="D264" s="40"/>
      <c r="E264" s="40"/>
      <c r="F264" s="39"/>
      <c r="G264" s="39"/>
      <c r="H264" s="39"/>
      <c r="I264" s="39"/>
      <c r="J264" s="39"/>
      <c r="K264" s="39"/>
      <c r="L264" s="39"/>
      <c r="M264" s="39"/>
      <c r="N264" s="39"/>
      <c r="O264" s="39"/>
    </row>
    <row r="265" spans="4:15" x14ac:dyDescent="0.3">
      <c r="D265" s="40"/>
      <c r="E265" s="40"/>
      <c r="F265" s="39"/>
      <c r="G265" s="39"/>
      <c r="H265" s="39"/>
      <c r="I265" s="39"/>
      <c r="J265" s="39"/>
      <c r="K265" s="39"/>
      <c r="L265" s="39"/>
      <c r="M265" s="39"/>
      <c r="N265" s="39"/>
      <c r="O265" s="39"/>
    </row>
    <row r="266" spans="4:15" x14ac:dyDescent="0.3">
      <c r="D266" s="40"/>
      <c r="E266" s="40"/>
      <c r="F266" s="39"/>
      <c r="G266" s="39"/>
      <c r="H266" s="39"/>
      <c r="I266" s="39"/>
      <c r="J266" s="39"/>
      <c r="K266" s="39"/>
      <c r="L266" s="39"/>
      <c r="M266" s="39"/>
      <c r="N266" s="39"/>
      <c r="O266" s="39"/>
    </row>
    <row r="267" spans="4:15" x14ac:dyDescent="0.3">
      <c r="D267" s="40"/>
      <c r="E267" s="40"/>
      <c r="F267" s="39"/>
      <c r="G267" s="39"/>
      <c r="H267" s="39"/>
      <c r="I267" s="39"/>
      <c r="J267" s="39"/>
      <c r="K267" s="39"/>
      <c r="L267" s="39"/>
      <c r="M267" s="39"/>
      <c r="N267" s="39"/>
      <c r="O267" s="39"/>
    </row>
    <row r="268" spans="4:15" x14ac:dyDescent="0.3">
      <c r="D268" s="40"/>
      <c r="E268" s="40"/>
      <c r="F268" s="39"/>
      <c r="G268" s="39"/>
      <c r="H268" s="39"/>
      <c r="I268" s="39"/>
      <c r="J268" s="39"/>
      <c r="K268" s="39"/>
      <c r="L268" s="39"/>
      <c r="M268" s="39"/>
      <c r="N268" s="39"/>
      <c r="O268" s="39"/>
    </row>
    <row r="269" spans="4:15" x14ac:dyDescent="0.3">
      <c r="D269" s="40"/>
      <c r="E269" s="40"/>
      <c r="F269" s="39"/>
      <c r="G269" s="39"/>
      <c r="H269" s="39"/>
      <c r="I269" s="39"/>
      <c r="J269" s="39"/>
      <c r="K269" s="39"/>
      <c r="L269" s="39"/>
      <c r="M269" s="39"/>
      <c r="N269" s="39"/>
      <c r="O269" s="39"/>
    </row>
    <row r="270" spans="4:15" x14ac:dyDescent="0.3">
      <c r="D270" s="40"/>
      <c r="E270" s="40"/>
      <c r="F270" s="39"/>
      <c r="G270" s="39"/>
      <c r="H270" s="39"/>
      <c r="I270" s="39"/>
      <c r="J270" s="39"/>
      <c r="K270" s="39"/>
      <c r="L270" s="39"/>
      <c r="M270" s="39"/>
      <c r="N270" s="39"/>
      <c r="O270" s="39"/>
    </row>
    <row r="271" spans="4:15" x14ac:dyDescent="0.3">
      <c r="D271" s="40"/>
      <c r="E271" s="40"/>
      <c r="F271" s="39"/>
      <c r="G271" s="39"/>
      <c r="H271" s="39"/>
      <c r="I271" s="39"/>
      <c r="J271" s="39"/>
      <c r="K271" s="39"/>
      <c r="L271" s="39"/>
      <c r="M271" s="39"/>
      <c r="N271" s="39"/>
      <c r="O271" s="39"/>
    </row>
    <row r="272" spans="4:15" x14ac:dyDescent="0.3">
      <c r="D272" s="40"/>
      <c r="E272" s="40"/>
      <c r="F272" s="39"/>
      <c r="G272" s="39"/>
      <c r="H272" s="39"/>
      <c r="I272" s="39"/>
      <c r="J272" s="39"/>
      <c r="K272" s="39"/>
      <c r="L272" s="39"/>
      <c r="M272" s="39"/>
      <c r="N272" s="39"/>
      <c r="O272" s="39"/>
    </row>
    <row r="273" spans="4:15" x14ac:dyDescent="0.3">
      <c r="D273" s="40"/>
      <c r="E273" s="40"/>
      <c r="F273" s="39"/>
      <c r="G273" s="39"/>
      <c r="H273" s="39"/>
      <c r="I273" s="39"/>
      <c r="J273" s="39"/>
      <c r="K273" s="39"/>
      <c r="L273" s="39"/>
      <c r="M273" s="39"/>
      <c r="N273" s="39"/>
      <c r="O273" s="39"/>
    </row>
    <row r="274" spans="4:15" x14ac:dyDescent="0.3">
      <c r="D274" s="40"/>
      <c r="E274" s="40"/>
      <c r="F274" s="39"/>
      <c r="G274" s="39"/>
      <c r="H274" s="39"/>
      <c r="I274" s="39"/>
      <c r="J274" s="39"/>
      <c r="K274" s="39"/>
      <c r="L274" s="39"/>
      <c r="M274" s="39"/>
      <c r="N274" s="39"/>
      <c r="O274" s="39"/>
    </row>
    <row r="275" spans="4:15" x14ac:dyDescent="0.3">
      <c r="D275" s="40"/>
      <c r="E275" s="40"/>
      <c r="F275" s="39"/>
      <c r="G275" s="39"/>
      <c r="H275" s="39"/>
      <c r="I275" s="39"/>
      <c r="J275" s="39"/>
      <c r="K275" s="39"/>
      <c r="L275" s="39"/>
      <c r="M275" s="39"/>
      <c r="N275" s="39"/>
      <c r="O275" s="39"/>
    </row>
    <row r="276" spans="4:15" x14ac:dyDescent="0.3">
      <c r="D276" s="40"/>
      <c r="E276" s="40"/>
      <c r="F276" s="39"/>
      <c r="G276" s="39"/>
      <c r="H276" s="39"/>
      <c r="I276" s="39"/>
      <c r="J276" s="39"/>
      <c r="K276" s="39"/>
      <c r="L276" s="39"/>
      <c r="M276" s="39"/>
      <c r="N276" s="39"/>
      <c r="O276" s="39"/>
    </row>
    <row r="277" spans="4:15" x14ac:dyDescent="0.3">
      <c r="D277" s="40"/>
      <c r="E277" s="40"/>
      <c r="F277" s="39"/>
      <c r="G277" s="39"/>
      <c r="H277" s="39"/>
      <c r="I277" s="39"/>
      <c r="J277" s="39"/>
      <c r="K277" s="39"/>
      <c r="L277" s="39"/>
      <c r="M277" s="39"/>
      <c r="N277" s="39"/>
      <c r="O277" s="39"/>
    </row>
    <row r="278" spans="4:15" x14ac:dyDescent="0.3">
      <c r="D278" s="40"/>
      <c r="E278" s="40"/>
      <c r="F278" s="39"/>
      <c r="G278" s="39"/>
      <c r="H278" s="39"/>
      <c r="I278" s="39"/>
      <c r="J278" s="39"/>
      <c r="K278" s="39"/>
      <c r="L278" s="39"/>
      <c r="M278" s="39"/>
      <c r="N278" s="39"/>
      <c r="O278" s="39"/>
    </row>
    <row r="279" spans="4:15" x14ac:dyDescent="0.3">
      <c r="D279" s="40"/>
      <c r="E279" s="40"/>
      <c r="F279" s="39"/>
      <c r="G279" s="39"/>
      <c r="H279" s="39"/>
      <c r="I279" s="39"/>
      <c r="J279" s="39"/>
      <c r="K279" s="39"/>
      <c r="L279" s="39"/>
      <c r="M279" s="39"/>
      <c r="N279" s="39"/>
      <c r="O279" s="39"/>
    </row>
    <row r="280" spans="4:15" x14ac:dyDescent="0.3">
      <c r="D280" s="40"/>
      <c r="E280" s="40"/>
      <c r="F280" s="39"/>
      <c r="G280" s="39"/>
      <c r="H280" s="39"/>
      <c r="I280" s="39"/>
      <c r="J280" s="39"/>
      <c r="K280" s="39"/>
      <c r="L280" s="39"/>
      <c r="M280" s="39"/>
      <c r="N280" s="39"/>
      <c r="O280" s="39"/>
    </row>
    <row r="281" spans="4:15" x14ac:dyDescent="0.3">
      <c r="D281" s="40"/>
      <c r="E281" s="40"/>
      <c r="F281" s="39"/>
      <c r="G281" s="39"/>
      <c r="H281" s="39"/>
      <c r="I281" s="39"/>
      <c r="J281" s="39"/>
      <c r="K281" s="39"/>
      <c r="L281" s="39"/>
      <c r="M281" s="39"/>
      <c r="N281" s="39"/>
      <c r="O281" s="39"/>
    </row>
    <row r="282" spans="4:15" x14ac:dyDescent="0.3">
      <c r="D282" s="40"/>
      <c r="E282" s="40"/>
      <c r="F282" s="39"/>
      <c r="G282" s="39"/>
      <c r="H282" s="39"/>
      <c r="I282" s="39"/>
      <c r="J282" s="39"/>
      <c r="K282" s="39"/>
      <c r="L282" s="39"/>
      <c r="M282" s="39"/>
      <c r="N282" s="39"/>
      <c r="O282" s="39"/>
    </row>
    <row r="283" spans="4:15" x14ac:dyDescent="0.3">
      <c r="D283" s="40"/>
      <c r="E283" s="40"/>
      <c r="F283" s="39"/>
      <c r="G283" s="39"/>
      <c r="H283" s="39"/>
      <c r="I283" s="39"/>
      <c r="J283" s="39"/>
      <c r="K283" s="39"/>
      <c r="L283" s="39"/>
      <c r="M283" s="39"/>
      <c r="N283" s="39"/>
      <c r="O283" s="39"/>
    </row>
    <row r="284" spans="4:15" x14ac:dyDescent="0.3">
      <c r="D284" s="40"/>
      <c r="E284" s="40"/>
      <c r="F284" s="39"/>
      <c r="G284" s="39"/>
      <c r="H284" s="39"/>
      <c r="I284" s="39"/>
      <c r="J284" s="39"/>
      <c r="K284" s="39"/>
      <c r="L284" s="39"/>
      <c r="M284" s="39"/>
      <c r="N284" s="39"/>
      <c r="O284" s="39"/>
    </row>
    <row r="285" spans="4:15" x14ac:dyDescent="0.3">
      <c r="D285" s="40"/>
      <c r="E285" s="40"/>
      <c r="F285" s="39"/>
      <c r="G285" s="39"/>
      <c r="H285" s="39"/>
      <c r="I285" s="39"/>
      <c r="J285" s="39"/>
      <c r="K285" s="39"/>
      <c r="L285" s="39"/>
      <c r="M285" s="39"/>
      <c r="N285" s="39"/>
      <c r="O285" s="39"/>
    </row>
    <row r="286" spans="4:15" x14ac:dyDescent="0.3">
      <c r="D286" s="40"/>
      <c r="E286" s="40"/>
      <c r="F286" s="39"/>
      <c r="G286" s="39"/>
      <c r="H286" s="39"/>
      <c r="I286" s="39"/>
      <c r="J286" s="39"/>
      <c r="K286" s="39"/>
      <c r="L286" s="39"/>
      <c r="M286" s="39"/>
      <c r="N286" s="39"/>
      <c r="O286" s="39"/>
    </row>
    <row r="287" spans="4:15" x14ac:dyDescent="0.3">
      <c r="D287" s="40"/>
      <c r="E287" s="40"/>
      <c r="F287" s="39"/>
      <c r="G287" s="39"/>
      <c r="H287" s="39"/>
      <c r="I287" s="39"/>
      <c r="J287" s="39"/>
      <c r="K287" s="39"/>
      <c r="L287" s="39"/>
      <c r="M287" s="39"/>
      <c r="N287" s="39"/>
      <c r="O287" s="39"/>
    </row>
    <row r="288" spans="4:15" x14ac:dyDescent="0.3">
      <c r="D288" s="40"/>
      <c r="E288" s="40"/>
      <c r="F288" s="39"/>
      <c r="G288" s="39"/>
      <c r="H288" s="39"/>
      <c r="I288" s="39"/>
      <c r="J288" s="39"/>
      <c r="K288" s="39"/>
      <c r="L288" s="39"/>
      <c r="M288" s="39"/>
      <c r="N288" s="39"/>
      <c r="O288" s="39"/>
    </row>
    <row r="289" spans="4:15" x14ac:dyDescent="0.3">
      <c r="D289" s="40"/>
      <c r="E289" s="40"/>
      <c r="F289" s="39"/>
      <c r="G289" s="39"/>
      <c r="H289" s="39"/>
      <c r="I289" s="39"/>
      <c r="J289" s="39"/>
      <c r="K289" s="39"/>
      <c r="L289" s="39"/>
      <c r="M289" s="39"/>
      <c r="N289" s="39"/>
      <c r="O289" s="39"/>
    </row>
    <row r="290" spans="4:15" x14ac:dyDescent="0.3">
      <c r="D290" s="40"/>
      <c r="E290" s="40"/>
      <c r="F290" s="39"/>
      <c r="G290" s="39"/>
      <c r="H290" s="39"/>
      <c r="I290" s="39"/>
      <c r="J290" s="39"/>
      <c r="K290" s="39"/>
      <c r="L290" s="39"/>
      <c r="M290" s="39"/>
      <c r="N290" s="39"/>
      <c r="O290" s="39"/>
    </row>
    <row r="291" spans="4:15" x14ac:dyDescent="0.3">
      <c r="D291" s="40"/>
      <c r="E291" s="40"/>
      <c r="F291" s="39"/>
      <c r="G291" s="39"/>
      <c r="H291" s="39"/>
      <c r="I291" s="39"/>
      <c r="J291" s="39"/>
      <c r="K291" s="39"/>
      <c r="L291" s="39"/>
      <c r="M291" s="39"/>
      <c r="N291" s="39"/>
      <c r="O291" s="39"/>
    </row>
    <row r="292" spans="4:15" x14ac:dyDescent="0.3">
      <c r="D292" s="40"/>
      <c r="E292" s="40"/>
      <c r="F292" s="39"/>
      <c r="G292" s="39"/>
      <c r="H292" s="39"/>
      <c r="I292" s="39"/>
      <c r="J292" s="39"/>
      <c r="K292" s="39"/>
      <c r="L292" s="39"/>
      <c r="M292" s="39"/>
      <c r="N292" s="39"/>
      <c r="O292" s="39"/>
    </row>
    <row r="293" spans="4:15" x14ac:dyDescent="0.3">
      <c r="D293" s="40"/>
      <c r="E293" s="40"/>
      <c r="F293" s="39"/>
      <c r="G293" s="39"/>
      <c r="H293" s="39"/>
      <c r="I293" s="39"/>
      <c r="J293" s="39"/>
      <c r="K293" s="39"/>
      <c r="L293" s="39"/>
      <c r="M293" s="39"/>
      <c r="N293" s="39"/>
      <c r="O293" s="39"/>
    </row>
    <row r="294" spans="4:15" x14ac:dyDescent="0.3">
      <c r="D294" s="40"/>
      <c r="E294" s="40"/>
      <c r="F294" s="39"/>
      <c r="G294" s="39"/>
      <c r="H294" s="39"/>
      <c r="I294" s="39"/>
      <c r="J294" s="39"/>
      <c r="K294" s="39"/>
      <c r="L294" s="39"/>
      <c r="M294" s="39"/>
      <c r="N294" s="39"/>
      <c r="O294" s="39"/>
    </row>
    <row r="295" spans="4:15" x14ac:dyDescent="0.3">
      <c r="D295" s="40"/>
      <c r="E295" s="40"/>
      <c r="F295" s="39"/>
      <c r="G295" s="39"/>
      <c r="H295" s="39"/>
      <c r="I295" s="39"/>
      <c r="J295" s="39"/>
      <c r="K295" s="39"/>
      <c r="L295" s="39"/>
      <c r="M295" s="39"/>
      <c r="N295" s="39"/>
      <c r="O295" s="39"/>
    </row>
    <row r="296" spans="4:15" x14ac:dyDescent="0.3">
      <c r="D296" s="40"/>
      <c r="E296" s="40"/>
      <c r="F296" s="39"/>
      <c r="G296" s="39"/>
      <c r="H296" s="39"/>
      <c r="I296" s="39"/>
      <c r="J296" s="39"/>
      <c r="K296" s="39"/>
      <c r="L296" s="39"/>
      <c r="M296" s="39"/>
      <c r="N296" s="39"/>
      <c r="O296" s="39"/>
    </row>
    <row r="297" spans="4:15" x14ac:dyDescent="0.3">
      <c r="D297" s="40"/>
      <c r="E297" s="40"/>
      <c r="F297" s="39"/>
      <c r="G297" s="39"/>
      <c r="H297" s="39"/>
      <c r="I297" s="39"/>
      <c r="J297" s="39"/>
      <c r="K297" s="39"/>
      <c r="L297" s="39"/>
      <c r="M297" s="39"/>
      <c r="N297" s="39"/>
      <c r="O297" s="39"/>
    </row>
    <row r="298" spans="4:15" x14ac:dyDescent="0.3">
      <c r="D298" s="40"/>
      <c r="E298" s="40"/>
      <c r="F298" s="39"/>
      <c r="G298" s="39"/>
      <c r="H298" s="39"/>
      <c r="I298" s="39"/>
      <c r="J298" s="39"/>
      <c r="K298" s="39"/>
      <c r="L298" s="39"/>
      <c r="M298" s="39"/>
      <c r="N298" s="39"/>
      <c r="O298" s="39"/>
    </row>
    <row r="299" spans="4:15" x14ac:dyDescent="0.3">
      <c r="D299" s="40"/>
      <c r="E299" s="40"/>
      <c r="F299" s="39"/>
      <c r="G299" s="39"/>
      <c r="H299" s="39"/>
      <c r="I299" s="39"/>
      <c r="J299" s="39"/>
      <c r="K299" s="39"/>
      <c r="L299" s="39"/>
      <c r="M299" s="39"/>
      <c r="N299" s="39"/>
      <c r="O299" s="39"/>
    </row>
    <row r="300" spans="4:15" x14ac:dyDescent="0.3">
      <c r="D300" s="40"/>
      <c r="E300" s="40"/>
      <c r="F300" s="39"/>
      <c r="G300" s="39"/>
      <c r="H300" s="39"/>
      <c r="I300" s="39"/>
      <c r="J300" s="39"/>
      <c r="K300" s="39"/>
      <c r="L300" s="39"/>
      <c r="M300" s="39"/>
      <c r="N300" s="39"/>
      <c r="O300" s="39"/>
    </row>
    <row r="301" spans="4:15" x14ac:dyDescent="0.3">
      <c r="D301" s="40"/>
      <c r="E301" s="40"/>
      <c r="F301" s="39"/>
      <c r="G301" s="39"/>
      <c r="H301" s="39"/>
      <c r="I301" s="39"/>
      <c r="J301" s="39"/>
      <c r="K301" s="39"/>
      <c r="L301" s="39"/>
      <c r="M301" s="39"/>
      <c r="N301" s="39"/>
      <c r="O301" s="39"/>
    </row>
    <row r="302" spans="4:15" x14ac:dyDescent="0.3">
      <c r="D302" s="40"/>
      <c r="E302" s="40"/>
      <c r="F302" s="39"/>
      <c r="G302" s="39"/>
      <c r="H302" s="39"/>
      <c r="I302" s="39"/>
      <c r="J302" s="39"/>
      <c r="K302" s="39"/>
      <c r="L302" s="39"/>
      <c r="M302" s="39"/>
      <c r="N302" s="39"/>
      <c r="O302" s="39"/>
    </row>
    <row r="303" spans="4:15" x14ac:dyDescent="0.3">
      <c r="D303" s="40"/>
      <c r="E303" s="40"/>
      <c r="F303" s="39"/>
      <c r="G303" s="39"/>
      <c r="H303" s="39"/>
      <c r="I303" s="39"/>
      <c r="J303" s="39"/>
      <c r="K303" s="39"/>
      <c r="L303" s="39"/>
      <c r="M303" s="39"/>
      <c r="N303" s="39"/>
      <c r="O303" s="39"/>
    </row>
    <row r="304" spans="4:15" x14ac:dyDescent="0.3">
      <c r="D304" s="40"/>
      <c r="E304" s="40"/>
      <c r="F304" s="39"/>
      <c r="G304" s="39"/>
      <c r="H304" s="39"/>
      <c r="I304" s="39"/>
      <c r="J304" s="39"/>
      <c r="K304" s="39"/>
      <c r="L304" s="39"/>
      <c r="M304" s="39"/>
      <c r="N304" s="39"/>
      <c r="O304" s="39"/>
    </row>
    <row r="305" spans="4:15" x14ac:dyDescent="0.3">
      <c r="D305" s="40"/>
      <c r="E305" s="40"/>
      <c r="F305" s="39"/>
      <c r="G305" s="39"/>
      <c r="H305" s="39"/>
      <c r="I305" s="39"/>
      <c r="J305" s="39"/>
      <c r="K305" s="39"/>
      <c r="L305" s="39"/>
      <c r="M305" s="39"/>
      <c r="N305" s="39"/>
      <c r="O305" s="39"/>
    </row>
    <row r="306" spans="4:15" x14ac:dyDescent="0.3">
      <c r="D306" s="40"/>
      <c r="E306" s="40"/>
      <c r="F306" s="39"/>
      <c r="G306" s="39"/>
      <c r="H306" s="39"/>
      <c r="I306" s="39"/>
      <c r="J306" s="39"/>
      <c r="K306" s="39"/>
      <c r="L306" s="39"/>
      <c r="M306" s="39"/>
      <c r="N306" s="39"/>
      <c r="O306" s="39"/>
    </row>
    <row r="307" spans="4:15" x14ac:dyDescent="0.3">
      <c r="D307" s="40"/>
      <c r="E307" s="40"/>
      <c r="F307" s="39"/>
      <c r="G307" s="39"/>
      <c r="H307" s="39"/>
      <c r="I307" s="39"/>
      <c r="J307" s="39"/>
      <c r="K307" s="39"/>
      <c r="L307" s="39"/>
      <c r="M307" s="39"/>
      <c r="N307" s="39"/>
      <c r="O307" s="39"/>
    </row>
    <row r="308" spans="4:15" x14ac:dyDescent="0.3">
      <c r="D308" s="40"/>
      <c r="E308" s="40"/>
      <c r="F308" s="39"/>
      <c r="G308" s="39"/>
      <c r="H308" s="39"/>
      <c r="I308" s="39"/>
      <c r="J308" s="39"/>
      <c r="K308" s="39"/>
      <c r="L308" s="39"/>
      <c r="M308" s="39"/>
      <c r="N308" s="39"/>
      <c r="O308" s="39"/>
    </row>
    <row r="309" spans="4:15" x14ac:dyDescent="0.3">
      <c r="D309" s="40"/>
      <c r="E309" s="40"/>
      <c r="F309" s="39"/>
      <c r="G309" s="39"/>
      <c r="H309" s="39"/>
      <c r="I309" s="39"/>
      <c r="J309" s="39"/>
      <c r="K309" s="39"/>
      <c r="L309" s="39"/>
      <c r="M309" s="39"/>
      <c r="N309" s="39"/>
      <c r="O309" s="39"/>
    </row>
    <row r="310" spans="4:15" x14ac:dyDescent="0.3">
      <c r="D310" s="40"/>
      <c r="E310" s="40"/>
      <c r="F310" s="39"/>
      <c r="G310" s="39"/>
      <c r="H310" s="39"/>
      <c r="I310" s="39"/>
      <c r="J310" s="39"/>
      <c r="K310" s="39"/>
      <c r="L310" s="39"/>
      <c r="M310" s="39"/>
      <c r="N310" s="39"/>
      <c r="O310" s="39"/>
    </row>
    <row r="311" spans="4:15" x14ac:dyDescent="0.3">
      <c r="D311" s="40"/>
      <c r="E311" s="40"/>
      <c r="F311" s="39"/>
      <c r="G311" s="39"/>
      <c r="H311" s="39"/>
      <c r="I311" s="39"/>
      <c r="J311" s="39"/>
      <c r="K311" s="39"/>
      <c r="L311" s="39"/>
      <c r="M311" s="39"/>
      <c r="N311" s="39"/>
      <c r="O311" s="39"/>
    </row>
    <row r="312" spans="4:15" x14ac:dyDescent="0.3">
      <c r="D312" s="40"/>
      <c r="E312" s="40"/>
      <c r="F312" s="39"/>
      <c r="G312" s="39"/>
      <c r="H312" s="39"/>
      <c r="I312" s="39"/>
      <c r="J312" s="39"/>
      <c r="K312" s="39"/>
      <c r="L312" s="39"/>
      <c r="M312" s="39"/>
      <c r="N312" s="39"/>
      <c r="O312" s="39"/>
    </row>
    <row r="313" spans="4:15" x14ac:dyDescent="0.3">
      <c r="D313" s="40"/>
      <c r="E313" s="40"/>
      <c r="F313" s="39"/>
      <c r="G313" s="39"/>
      <c r="H313" s="39"/>
      <c r="I313" s="39"/>
      <c r="J313" s="39"/>
      <c r="K313" s="39"/>
      <c r="L313" s="39"/>
      <c r="M313" s="39"/>
      <c r="N313" s="39"/>
      <c r="O313" s="39"/>
    </row>
    <row r="314" spans="4:15" x14ac:dyDescent="0.3">
      <c r="D314" s="40"/>
      <c r="E314" s="40"/>
      <c r="F314" s="39"/>
      <c r="G314" s="39"/>
      <c r="H314" s="39"/>
      <c r="I314" s="39"/>
      <c r="J314" s="39"/>
      <c r="K314" s="39"/>
      <c r="L314" s="39"/>
      <c r="M314" s="39"/>
      <c r="N314" s="39"/>
      <c r="O314" s="39"/>
    </row>
    <row r="315" spans="4:15" x14ac:dyDescent="0.3">
      <c r="D315" s="40"/>
      <c r="E315" s="40"/>
      <c r="F315" s="39"/>
      <c r="G315" s="39"/>
      <c r="H315" s="39"/>
      <c r="I315" s="39"/>
      <c r="J315" s="39"/>
      <c r="K315" s="39"/>
      <c r="L315" s="39"/>
      <c r="M315" s="39"/>
      <c r="N315" s="39"/>
      <c r="O315" s="39"/>
    </row>
    <row r="316" spans="4:15" x14ac:dyDescent="0.3">
      <c r="D316" s="40"/>
      <c r="E316" s="40"/>
      <c r="F316" s="39"/>
      <c r="G316" s="39"/>
      <c r="H316" s="39"/>
      <c r="I316" s="39"/>
      <c r="J316" s="39"/>
      <c r="K316" s="39"/>
      <c r="L316" s="39"/>
      <c r="M316" s="39"/>
      <c r="N316" s="39"/>
      <c r="O316" s="39"/>
    </row>
    <row r="317" spans="4:15" x14ac:dyDescent="0.3">
      <c r="D317" s="40"/>
      <c r="E317" s="40"/>
      <c r="F317" s="39"/>
      <c r="G317" s="39"/>
      <c r="H317" s="39"/>
      <c r="I317" s="39"/>
      <c r="J317" s="39"/>
      <c r="K317" s="39"/>
      <c r="L317" s="39"/>
      <c r="M317" s="39"/>
      <c r="N317" s="39"/>
      <c r="O317" s="39"/>
    </row>
    <row r="318" spans="4:15" x14ac:dyDescent="0.3">
      <c r="D318" s="40"/>
      <c r="E318" s="40"/>
      <c r="F318" s="39"/>
      <c r="G318" s="39"/>
      <c r="H318" s="39"/>
      <c r="I318" s="39"/>
      <c r="J318" s="39"/>
      <c r="K318" s="39"/>
      <c r="L318" s="39"/>
      <c r="M318" s="39"/>
      <c r="N318" s="39"/>
      <c r="O318" s="39"/>
    </row>
    <row r="319" spans="4:15" x14ac:dyDescent="0.3">
      <c r="D319" s="40"/>
      <c r="E319" s="40"/>
      <c r="F319" s="39"/>
      <c r="G319" s="39"/>
      <c r="H319" s="39"/>
      <c r="I319" s="39"/>
      <c r="J319" s="39"/>
      <c r="K319" s="39"/>
      <c r="L319" s="39"/>
      <c r="M319" s="39"/>
      <c r="N319" s="39"/>
      <c r="O319" s="39"/>
    </row>
    <row r="320" spans="4:15" x14ac:dyDescent="0.3">
      <c r="D320" s="40"/>
      <c r="E320" s="40"/>
      <c r="F320" s="39"/>
      <c r="G320" s="39"/>
      <c r="H320" s="39"/>
      <c r="I320" s="39"/>
      <c r="J320" s="39"/>
      <c r="K320" s="39"/>
      <c r="L320" s="39"/>
      <c r="M320" s="39"/>
      <c r="N320" s="39"/>
      <c r="O320" s="39"/>
    </row>
    <row r="321" spans="4:15" x14ac:dyDescent="0.3">
      <c r="D321" s="40"/>
      <c r="E321" s="40"/>
      <c r="F321" s="39"/>
      <c r="G321" s="39"/>
      <c r="H321" s="39"/>
      <c r="I321" s="39"/>
      <c r="J321" s="39"/>
      <c r="K321" s="39"/>
      <c r="L321" s="39"/>
      <c r="M321" s="39"/>
      <c r="N321" s="39"/>
      <c r="O321" s="39"/>
    </row>
    <row r="322" spans="4:15" x14ac:dyDescent="0.3">
      <c r="D322" s="40"/>
      <c r="E322" s="40"/>
      <c r="F322" s="39"/>
      <c r="G322" s="39"/>
      <c r="H322" s="39"/>
      <c r="I322" s="39"/>
      <c r="J322" s="39"/>
      <c r="K322" s="39"/>
      <c r="L322" s="39"/>
      <c r="M322" s="39"/>
      <c r="N322" s="39"/>
      <c r="O322" s="39"/>
    </row>
    <row r="323" spans="4:15" x14ac:dyDescent="0.3">
      <c r="D323" s="40"/>
      <c r="E323" s="40"/>
      <c r="F323" s="39"/>
      <c r="G323" s="39"/>
      <c r="H323" s="39"/>
      <c r="I323" s="39"/>
      <c r="J323" s="39"/>
      <c r="K323" s="39"/>
      <c r="L323" s="39"/>
      <c r="M323" s="39"/>
      <c r="N323" s="39"/>
      <c r="O323" s="39"/>
    </row>
    <row r="324" spans="4:15" x14ac:dyDescent="0.3">
      <c r="D324" s="40"/>
      <c r="E324" s="40"/>
      <c r="F324" s="39"/>
      <c r="G324" s="39"/>
      <c r="H324" s="39"/>
      <c r="I324" s="39"/>
      <c r="J324" s="39"/>
      <c r="K324" s="39"/>
      <c r="L324" s="39"/>
      <c r="M324" s="39"/>
      <c r="N324" s="39"/>
      <c r="O324" s="39"/>
    </row>
    <row r="325" spans="4:15" x14ac:dyDescent="0.3">
      <c r="D325" s="40"/>
      <c r="E325" s="40"/>
      <c r="F325" s="39"/>
      <c r="G325" s="39"/>
      <c r="H325" s="39"/>
      <c r="I325" s="39"/>
      <c r="J325" s="39"/>
      <c r="K325" s="39"/>
      <c r="L325" s="39"/>
      <c r="M325" s="39"/>
      <c r="N325" s="39"/>
      <c r="O325" s="39"/>
    </row>
    <row r="326" spans="4:15" x14ac:dyDescent="0.3">
      <c r="D326" s="40"/>
      <c r="E326" s="40"/>
      <c r="F326" s="39"/>
      <c r="G326" s="39"/>
      <c r="H326" s="39"/>
      <c r="I326" s="39"/>
      <c r="J326" s="39"/>
      <c r="K326" s="39"/>
      <c r="L326" s="39"/>
      <c r="M326" s="39"/>
      <c r="N326" s="39"/>
      <c r="O326" s="39"/>
    </row>
    <row r="327" spans="4:15" x14ac:dyDescent="0.3">
      <c r="D327" s="40"/>
      <c r="E327" s="40"/>
      <c r="F327" s="39"/>
      <c r="G327" s="39"/>
      <c r="H327" s="39"/>
      <c r="I327" s="39"/>
      <c r="J327" s="39"/>
      <c r="K327" s="39"/>
      <c r="L327" s="39"/>
      <c r="M327" s="39"/>
      <c r="N327" s="39"/>
      <c r="O327" s="39"/>
    </row>
    <row r="328" spans="4:15" x14ac:dyDescent="0.3">
      <c r="D328" s="40"/>
      <c r="E328" s="40"/>
      <c r="F328" s="39"/>
      <c r="G328" s="39"/>
      <c r="H328" s="39"/>
      <c r="I328" s="39"/>
      <c r="J328" s="39"/>
      <c r="K328" s="39"/>
      <c r="L328" s="39"/>
      <c r="M328" s="39"/>
      <c r="N328" s="39"/>
      <c r="O328" s="39"/>
    </row>
    <row r="329" spans="4:15" x14ac:dyDescent="0.3">
      <c r="D329" s="40"/>
      <c r="E329" s="40"/>
      <c r="F329" s="39"/>
      <c r="G329" s="39"/>
      <c r="H329" s="39"/>
      <c r="I329" s="39"/>
      <c r="J329" s="39"/>
      <c r="K329" s="39"/>
      <c r="L329" s="39"/>
      <c r="M329" s="39"/>
      <c r="N329" s="39"/>
      <c r="O329" s="39"/>
    </row>
    <row r="330" spans="4:15" x14ac:dyDescent="0.3">
      <c r="D330" s="40"/>
      <c r="E330" s="40"/>
      <c r="F330" s="39"/>
      <c r="G330" s="39"/>
      <c r="H330" s="39"/>
      <c r="I330" s="39"/>
      <c r="J330" s="39"/>
      <c r="K330" s="39"/>
      <c r="L330" s="39"/>
      <c r="M330" s="39"/>
      <c r="N330" s="39"/>
      <c r="O330" s="39"/>
    </row>
    <row r="331" spans="4:15" x14ac:dyDescent="0.3">
      <c r="D331" s="40"/>
      <c r="E331" s="40"/>
      <c r="F331" s="39"/>
      <c r="G331" s="39"/>
      <c r="H331" s="39"/>
      <c r="I331" s="39"/>
      <c r="J331" s="39"/>
      <c r="K331" s="39"/>
      <c r="L331" s="39"/>
      <c r="M331" s="39"/>
      <c r="N331" s="39"/>
      <c r="O331" s="39"/>
    </row>
    <row r="332" spans="4:15" x14ac:dyDescent="0.3">
      <c r="D332" s="40"/>
      <c r="E332" s="40"/>
      <c r="F332" s="39"/>
      <c r="G332" s="39"/>
      <c r="H332" s="39"/>
      <c r="I332" s="39"/>
      <c r="J332" s="39"/>
      <c r="K332" s="39"/>
      <c r="L332" s="39"/>
      <c r="M332" s="39"/>
      <c r="N332" s="39"/>
      <c r="O332" s="39"/>
    </row>
    <row r="333" spans="4:15" x14ac:dyDescent="0.3">
      <c r="D333" s="40"/>
      <c r="E333" s="40"/>
      <c r="F333" s="39"/>
      <c r="G333" s="39"/>
      <c r="H333" s="39"/>
      <c r="I333" s="39"/>
      <c r="J333" s="39"/>
      <c r="K333" s="39"/>
      <c r="L333" s="39"/>
      <c r="M333" s="39"/>
      <c r="N333" s="39"/>
      <c r="O333" s="39"/>
    </row>
    <row r="334" spans="4:15" x14ac:dyDescent="0.3">
      <c r="D334" s="40"/>
      <c r="E334" s="40"/>
      <c r="F334" s="39"/>
      <c r="G334" s="39"/>
      <c r="H334" s="39"/>
      <c r="I334" s="39"/>
      <c r="J334" s="39"/>
      <c r="K334" s="39"/>
      <c r="L334" s="39"/>
      <c r="M334" s="39"/>
      <c r="N334" s="39"/>
      <c r="O334" s="39"/>
    </row>
    <row r="335" spans="4:15" x14ac:dyDescent="0.3">
      <c r="D335" s="40"/>
      <c r="E335" s="40"/>
      <c r="F335" s="39"/>
      <c r="G335" s="39"/>
      <c r="H335" s="39"/>
      <c r="I335" s="39"/>
      <c r="J335" s="39"/>
      <c r="K335" s="39"/>
      <c r="L335" s="39"/>
      <c r="M335" s="39"/>
      <c r="N335" s="39"/>
      <c r="O335" s="39"/>
    </row>
    <row r="336" spans="4:15" x14ac:dyDescent="0.3">
      <c r="D336" s="40"/>
      <c r="E336" s="40"/>
      <c r="F336" s="39"/>
      <c r="G336" s="39"/>
      <c r="H336" s="39"/>
      <c r="I336" s="39"/>
      <c r="J336" s="39"/>
      <c r="K336" s="39"/>
      <c r="L336" s="39"/>
      <c r="M336" s="39"/>
      <c r="N336" s="39"/>
      <c r="O336" s="39"/>
    </row>
    <row r="337" spans="4:15" x14ac:dyDescent="0.3">
      <c r="D337" s="40"/>
      <c r="E337" s="40"/>
      <c r="F337" s="39"/>
      <c r="G337" s="39"/>
      <c r="H337" s="39"/>
      <c r="I337" s="39"/>
      <c r="J337" s="39"/>
      <c r="K337" s="39"/>
      <c r="L337" s="39"/>
      <c r="M337" s="39"/>
      <c r="N337" s="39"/>
      <c r="O337" s="39"/>
    </row>
    <row r="338" spans="4:15" x14ac:dyDescent="0.3">
      <c r="D338" s="40"/>
      <c r="E338" s="40"/>
      <c r="F338" s="39"/>
      <c r="G338" s="39"/>
      <c r="H338" s="39"/>
      <c r="I338" s="39"/>
      <c r="J338" s="39"/>
      <c r="K338" s="39"/>
      <c r="L338" s="39"/>
      <c r="M338" s="39"/>
      <c r="N338" s="39"/>
      <c r="O338" s="39"/>
    </row>
    <row r="339" spans="4:15" x14ac:dyDescent="0.3">
      <c r="D339" s="40"/>
      <c r="E339" s="40"/>
      <c r="F339" s="39"/>
      <c r="G339" s="39"/>
      <c r="H339" s="39"/>
      <c r="I339" s="39"/>
      <c r="J339" s="39"/>
      <c r="K339" s="39"/>
      <c r="L339" s="39"/>
      <c r="M339" s="39"/>
      <c r="N339" s="39"/>
      <c r="O339" s="39"/>
    </row>
    <row r="340" spans="4:15" x14ac:dyDescent="0.3">
      <c r="D340" s="40"/>
      <c r="E340" s="40"/>
      <c r="F340" s="39"/>
      <c r="G340" s="39"/>
      <c r="H340" s="39"/>
      <c r="I340" s="39"/>
      <c r="J340" s="39"/>
      <c r="K340" s="39"/>
      <c r="L340" s="39"/>
      <c r="M340" s="39"/>
      <c r="N340" s="39"/>
      <c r="O340" s="39"/>
    </row>
    <row r="341" spans="4:15" x14ac:dyDescent="0.3">
      <c r="D341" s="40"/>
      <c r="E341" s="40"/>
      <c r="F341" s="39"/>
      <c r="G341" s="39"/>
      <c r="H341" s="39"/>
      <c r="I341" s="39"/>
      <c r="J341" s="39"/>
      <c r="K341" s="39"/>
      <c r="L341" s="39"/>
      <c r="M341" s="39"/>
      <c r="N341" s="39"/>
      <c r="O341" s="39"/>
    </row>
    <row r="342" spans="4:15" x14ac:dyDescent="0.3">
      <c r="D342" s="40"/>
      <c r="E342" s="40"/>
      <c r="F342" s="39"/>
      <c r="G342" s="39"/>
      <c r="H342" s="39"/>
      <c r="I342" s="39"/>
      <c r="J342" s="39"/>
      <c r="K342" s="39"/>
      <c r="L342" s="39"/>
      <c r="M342" s="39"/>
      <c r="N342" s="39"/>
      <c r="O342" s="39"/>
    </row>
    <row r="343" spans="4:15" x14ac:dyDescent="0.3">
      <c r="D343" s="40"/>
      <c r="E343" s="40"/>
      <c r="F343" s="39"/>
      <c r="G343" s="39"/>
      <c r="H343" s="39"/>
      <c r="I343" s="39"/>
      <c r="J343" s="39"/>
      <c r="K343" s="39"/>
      <c r="L343" s="39"/>
      <c r="M343" s="39"/>
      <c r="N343" s="39"/>
      <c r="O343" s="39"/>
    </row>
    <row r="344" spans="4:15" x14ac:dyDescent="0.3">
      <c r="D344" s="40"/>
      <c r="E344" s="40"/>
      <c r="F344" s="39"/>
      <c r="G344" s="39"/>
      <c r="H344" s="39"/>
      <c r="I344" s="39"/>
      <c r="J344" s="39"/>
      <c r="K344" s="39"/>
      <c r="L344" s="39"/>
      <c r="M344" s="39"/>
      <c r="N344" s="39"/>
      <c r="O344" s="39"/>
    </row>
    <row r="345" spans="4:15" x14ac:dyDescent="0.3">
      <c r="D345" s="40"/>
      <c r="E345" s="40"/>
      <c r="F345" s="39"/>
      <c r="G345" s="39"/>
      <c r="H345" s="39"/>
      <c r="I345" s="39"/>
      <c r="J345" s="39"/>
      <c r="K345" s="39"/>
      <c r="L345" s="39"/>
      <c r="M345" s="39"/>
      <c r="N345" s="39"/>
      <c r="O345" s="39"/>
    </row>
    <row r="346" spans="4:15" x14ac:dyDescent="0.3">
      <c r="D346" s="40"/>
      <c r="E346" s="40"/>
      <c r="F346" s="39"/>
      <c r="G346" s="39"/>
      <c r="H346" s="39"/>
      <c r="I346" s="39"/>
      <c r="J346" s="39"/>
      <c r="K346" s="39"/>
      <c r="L346" s="39"/>
      <c r="M346" s="39"/>
      <c r="N346" s="39"/>
      <c r="O346" s="39"/>
    </row>
    <row r="347" spans="4:15" x14ac:dyDescent="0.3">
      <c r="D347" s="40"/>
      <c r="E347" s="40"/>
      <c r="F347" s="39"/>
      <c r="G347" s="39"/>
      <c r="H347" s="39"/>
      <c r="I347" s="39"/>
      <c r="J347" s="39"/>
      <c r="K347" s="39"/>
      <c r="L347" s="39"/>
      <c r="M347" s="39"/>
      <c r="N347" s="39"/>
      <c r="O347" s="39"/>
    </row>
    <row r="348" spans="4:15" x14ac:dyDescent="0.3">
      <c r="D348" s="40"/>
      <c r="E348" s="40"/>
      <c r="F348" s="39"/>
      <c r="G348" s="39"/>
      <c r="H348" s="39"/>
      <c r="I348" s="39"/>
      <c r="J348" s="39"/>
      <c r="K348" s="39"/>
      <c r="L348" s="39"/>
      <c r="M348" s="39"/>
      <c r="N348" s="39"/>
      <c r="O348" s="39"/>
    </row>
    <row r="349" spans="4:15" x14ac:dyDescent="0.3">
      <c r="D349" s="40"/>
      <c r="E349" s="40"/>
      <c r="F349" s="39"/>
      <c r="G349" s="39"/>
      <c r="H349" s="39"/>
      <c r="I349" s="39"/>
      <c r="J349" s="39"/>
      <c r="K349" s="39"/>
      <c r="L349" s="39"/>
      <c r="M349" s="39"/>
      <c r="N349" s="39"/>
      <c r="O349" s="39"/>
    </row>
    <row r="350" spans="4:15" x14ac:dyDescent="0.3">
      <c r="D350" s="40"/>
      <c r="E350" s="40"/>
      <c r="F350" s="39"/>
      <c r="G350" s="39"/>
      <c r="H350" s="39"/>
      <c r="I350" s="39"/>
      <c r="J350" s="39"/>
      <c r="K350" s="39"/>
      <c r="L350" s="39"/>
      <c r="M350" s="39"/>
      <c r="N350" s="39"/>
      <c r="O350" s="39"/>
    </row>
    <row r="351" spans="4:15" x14ac:dyDescent="0.3">
      <c r="D351" s="40"/>
      <c r="E351" s="40"/>
      <c r="F351" s="39"/>
      <c r="G351" s="39"/>
      <c r="H351" s="39"/>
      <c r="I351" s="39"/>
      <c r="J351" s="39"/>
      <c r="K351" s="39"/>
      <c r="L351" s="39"/>
      <c r="M351" s="39"/>
      <c r="N351" s="39"/>
      <c r="O351" s="39"/>
    </row>
    <row r="352" spans="4:15" x14ac:dyDescent="0.3">
      <c r="D352" s="40"/>
      <c r="E352" s="40"/>
      <c r="F352" s="39"/>
      <c r="G352" s="39"/>
      <c r="H352" s="39"/>
      <c r="I352" s="39"/>
      <c r="J352" s="39"/>
      <c r="K352" s="39"/>
      <c r="L352" s="39"/>
      <c r="M352" s="39"/>
      <c r="N352" s="39"/>
      <c r="O352" s="39"/>
    </row>
    <row r="353" spans="4:15" x14ac:dyDescent="0.3">
      <c r="D353" s="40"/>
      <c r="E353" s="40"/>
      <c r="F353" s="39"/>
      <c r="G353" s="39"/>
      <c r="H353" s="39"/>
      <c r="I353" s="39"/>
      <c r="J353" s="39"/>
      <c r="K353" s="39"/>
      <c r="L353" s="39"/>
      <c r="M353" s="39"/>
      <c r="N353" s="39"/>
      <c r="O353" s="39"/>
    </row>
    <row r="354" spans="4:15" x14ac:dyDescent="0.3">
      <c r="D354" s="40"/>
      <c r="E354" s="40"/>
      <c r="F354" s="39"/>
      <c r="G354" s="39"/>
      <c r="H354" s="39"/>
      <c r="I354" s="39"/>
      <c r="J354" s="39"/>
      <c r="K354" s="39"/>
      <c r="L354" s="39"/>
      <c r="M354" s="39"/>
      <c r="N354" s="39"/>
      <c r="O354" s="39"/>
    </row>
    <row r="355" spans="4:15" x14ac:dyDescent="0.3">
      <c r="D355" s="40"/>
      <c r="E355" s="40"/>
      <c r="F355" s="39"/>
      <c r="G355" s="39"/>
      <c r="H355" s="39"/>
      <c r="I355" s="39"/>
      <c r="J355" s="39"/>
      <c r="K355" s="39"/>
      <c r="L355" s="39"/>
      <c r="M355" s="39"/>
      <c r="N355" s="39"/>
      <c r="O355" s="39"/>
    </row>
    <row r="356" spans="4:15" x14ac:dyDescent="0.3">
      <c r="D356" s="40"/>
      <c r="E356" s="40"/>
      <c r="F356" s="39"/>
      <c r="G356" s="39"/>
      <c r="H356" s="39"/>
      <c r="I356" s="39"/>
      <c r="J356" s="39"/>
      <c r="K356" s="39"/>
      <c r="L356" s="39"/>
      <c r="M356" s="39"/>
      <c r="N356" s="39"/>
      <c r="O356" s="39"/>
    </row>
    <row r="357" spans="4:15" x14ac:dyDescent="0.3">
      <c r="D357" s="40"/>
      <c r="E357" s="40"/>
      <c r="F357" s="39"/>
      <c r="G357" s="39"/>
      <c r="H357" s="39"/>
      <c r="I357" s="39"/>
      <c r="J357" s="39"/>
      <c r="K357" s="39"/>
      <c r="L357" s="39"/>
      <c r="M357" s="39"/>
      <c r="N357" s="39"/>
      <c r="O357" s="39"/>
    </row>
    <row r="358" spans="4:15" x14ac:dyDescent="0.3">
      <c r="D358" s="40"/>
      <c r="E358" s="40"/>
      <c r="F358" s="39"/>
      <c r="G358" s="39"/>
      <c r="H358" s="39"/>
      <c r="I358" s="39"/>
      <c r="J358" s="39"/>
      <c r="K358" s="39"/>
      <c r="L358" s="39"/>
      <c r="M358" s="39"/>
      <c r="N358" s="39"/>
      <c r="O358" s="39"/>
    </row>
    <row r="359" spans="4:15" x14ac:dyDescent="0.3">
      <c r="D359" s="40"/>
      <c r="E359" s="40"/>
      <c r="F359" s="39"/>
      <c r="G359" s="39"/>
      <c r="H359" s="39"/>
      <c r="I359" s="39"/>
      <c r="J359" s="39"/>
      <c r="K359" s="39"/>
      <c r="L359" s="39"/>
      <c r="M359" s="39"/>
      <c r="N359" s="39"/>
      <c r="O359" s="39"/>
    </row>
    <row r="360" spans="4:15" x14ac:dyDescent="0.3">
      <c r="D360" s="40"/>
      <c r="E360" s="40"/>
      <c r="F360" s="39"/>
      <c r="G360" s="39"/>
      <c r="H360" s="39"/>
      <c r="I360" s="39"/>
      <c r="J360" s="39"/>
      <c r="K360" s="39"/>
      <c r="L360" s="39"/>
      <c r="M360" s="39"/>
      <c r="N360" s="39"/>
      <c r="O360" s="39"/>
    </row>
    <row r="361" spans="4:15" x14ac:dyDescent="0.3">
      <c r="D361" s="40"/>
      <c r="E361" s="40"/>
      <c r="F361" s="39"/>
      <c r="G361" s="39"/>
      <c r="H361" s="39"/>
      <c r="I361" s="39"/>
      <c r="J361" s="39"/>
      <c r="K361" s="39"/>
      <c r="L361" s="39"/>
      <c r="M361" s="39"/>
      <c r="N361" s="39"/>
      <c r="O361" s="39"/>
    </row>
    <row r="362" spans="4:15" x14ac:dyDescent="0.3">
      <c r="D362" s="40"/>
      <c r="E362" s="40"/>
      <c r="F362" s="39"/>
      <c r="G362" s="39"/>
      <c r="H362" s="39"/>
      <c r="I362" s="39"/>
      <c r="J362" s="39"/>
      <c r="K362" s="39"/>
      <c r="L362" s="39"/>
      <c r="M362" s="39"/>
      <c r="N362" s="39"/>
      <c r="O362" s="39"/>
    </row>
    <row r="363" spans="4:15" x14ac:dyDescent="0.3">
      <c r="D363" s="40"/>
      <c r="E363" s="40"/>
      <c r="F363" s="39"/>
      <c r="G363" s="39"/>
      <c r="H363" s="39"/>
      <c r="I363" s="39"/>
      <c r="J363" s="39"/>
      <c r="K363" s="39"/>
      <c r="L363" s="39"/>
      <c r="M363" s="39"/>
      <c r="N363" s="39"/>
      <c r="O363" s="39"/>
    </row>
    <row r="364" spans="4:15" x14ac:dyDescent="0.3">
      <c r="D364" s="40"/>
      <c r="E364" s="40"/>
      <c r="F364" s="39"/>
      <c r="G364" s="39"/>
      <c r="H364" s="39"/>
      <c r="I364" s="39"/>
      <c r="J364" s="39"/>
      <c r="K364" s="39"/>
      <c r="L364" s="39"/>
      <c r="M364" s="39"/>
      <c r="N364" s="39"/>
      <c r="O364" s="39"/>
    </row>
    <row r="365" spans="4:15" x14ac:dyDescent="0.3">
      <c r="D365" s="40"/>
      <c r="E365" s="40"/>
      <c r="F365" s="39"/>
      <c r="G365" s="39"/>
      <c r="H365" s="39"/>
      <c r="I365" s="39"/>
      <c r="J365" s="39"/>
      <c r="K365" s="39"/>
      <c r="L365" s="39"/>
      <c r="M365" s="39"/>
      <c r="N365" s="39"/>
      <c r="O365" s="39"/>
    </row>
    <row r="366" spans="4:15" x14ac:dyDescent="0.3">
      <c r="D366" s="40"/>
      <c r="E366" s="40"/>
      <c r="F366" s="39"/>
      <c r="G366" s="39"/>
      <c r="H366" s="39"/>
      <c r="I366" s="39"/>
      <c r="J366" s="39"/>
      <c r="K366" s="39"/>
      <c r="L366" s="39"/>
      <c r="M366" s="39"/>
      <c r="N366" s="39"/>
      <c r="O366" s="39"/>
    </row>
    <row r="367" spans="4:15" x14ac:dyDescent="0.3">
      <c r="D367" s="40"/>
      <c r="E367" s="40"/>
      <c r="F367" s="39"/>
      <c r="G367" s="39"/>
      <c r="H367" s="39"/>
      <c r="I367" s="39"/>
      <c r="J367" s="39"/>
      <c r="K367" s="39"/>
      <c r="L367" s="39"/>
      <c r="M367" s="39"/>
      <c r="N367" s="39"/>
      <c r="O367" s="39"/>
    </row>
    <row r="368" spans="4:15" x14ac:dyDescent="0.3">
      <c r="D368" s="40"/>
      <c r="E368" s="40"/>
      <c r="F368" s="39"/>
      <c r="G368" s="39"/>
      <c r="H368" s="39"/>
      <c r="I368" s="39"/>
      <c r="J368" s="39"/>
      <c r="K368" s="39"/>
      <c r="L368" s="39"/>
      <c r="M368" s="39"/>
      <c r="N368" s="39"/>
      <c r="O368" s="39"/>
    </row>
    <row r="369" spans="4:15" x14ac:dyDescent="0.3">
      <c r="D369" s="40"/>
      <c r="E369" s="40"/>
      <c r="F369" s="39"/>
      <c r="G369" s="39"/>
      <c r="H369" s="39"/>
      <c r="I369" s="39"/>
      <c r="J369" s="39"/>
      <c r="K369" s="39"/>
      <c r="L369" s="39"/>
      <c r="M369" s="39"/>
      <c r="N369" s="39"/>
      <c r="O369" s="39"/>
    </row>
    <row r="370" spans="4:15" x14ac:dyDescent="0.3">
      <c r="D370" s="40"/>
      <c r="E370" s="40"/>
      <c r="F370" s="39"/>
      <c r="G370" s="39"/>
      <c r="H370" s="39"/>
      <c r="I370" s="39"/>
      <c r="J370" s="39"/>
      <c r="K370" s="39"/>
      <c r="L370" s="39"/>
      <c r="M370" s="39"/>
      <c r="N370" s="39"/>
      <c r="O370" s="39"/>
    </row>
    <row r="371" spans="4:15" x14ac:dyDescent="0.3">
      <c r="D371" s="40"/>
      <c r="E371" s="40"/>
      <c r="F371" s="39"/>
      <c r="G371" s="39"/>
      <c r="H371" s="39"/>
      <c r="I371" s="39"/>
      <c r="J371" s="39"/>
      <c r="K371" s="39"/>
      <c r="L371" s="39"/>
      <c r="M371" s="39"/>
      <c r="N371" s="39"/>
      <c r="O371" s="39"/>
    </row>
    <row r="372" spans="4:15" x14ac:dyDescent="0.3">
      <c r="D372" s="40"/>
      <c r="E372" s="40"/>
      <c r="F372" s="39"/>
      <c r="G372" s="39"/>
      <c r="H372" s="39"/>
      <c r="I372" s="39"/>
      <c r="J372" s="39"/>
      <c r="K372" s="39"/>
      <c r="L372" s="39"/>
      <c r="M372" s="39"/>
      <c r="N372" s="39"/>
      <c r="O372" s="39"/>
    </row>
    <row r="373" spans="4:15" x14ac:dyDescent="0.3">
      <c r="D373" s="40"/>
      <c r="E373" s="40"/>
      <c r="F373" s="39"/>
      <c r="G373" s="39"/>
      <c r="H373" s="39"/>
      <c r="I373" s="39"/>
      <c r="J373" s="39"/>
      <c r="K373" s="39"/>
      <c r="L373" s="39"/>
      <c r="M373" s="39"/>
      <c r="N373" s="39"/>
      <c r="O373" s="39"/>
    </row>
    <row r="374" spans="4:15" x14ac:dyDescent="0.3">
      <c r="D374" s="40"/>
      <c r="E374" s="40"/>
      <c r="F374" s="39"/>
      <c r="G374" s="39"/>
      <c r="H374" s="39"/>
      <c r="I374" s="39"/>
      <c r="J374" s="39"/>
      <c r="K374" s="39"/>
      <c r="L374" s="39"/>
      <c r="M374" s="39"/>
      <c r="N374" s="39"/>
      <c r="O374" s="39"/>
    </row>
    <row r="375" spans="4:15" x14ac:dyDescent="0.3">
      <c r="D375" s="40"/>
      <c r="E375" s="40"/>
      <c r="F375" s="39"/>
      <c r="G375" s="39"/>
      <c r="H375" s="39"/>
      <c r="I375" s="39"/>
      <c r="J375" s="39"/>
      <c r="K375" s="39"/>
      <c r="L375" s="39"/>
      <c r="M375" s="39"/>
      <c r="N375" s="39"/>
      <c r="O375" s="39"/>
    </row>
    <row r="376" spans="4:15" x14ac:dyDescent="0.3">
      <c r="D376" s="40"/>
      <c r="E376" s="40"/>
      <c r="F376" s="39"/>
      <c r="G376" s="39"/>
      <c r="H376" s="39"/>
      <c r="I376" s="39"/>
      <c r="J376" s="39"/>
      <c r="K376" s="39"/>
      <c r="L376" s="39"/>
      <c r="M376" s="39"/>
      <c r="N376" s="39"/>
      <c r="O376" s="39"/>
    </row>
    <row r="377" spans="4:15" x14ac:dyDescent="0.3">
      <c r="D377" s="40"/>
      <c r="E377" s="40"/>
      <c r="F377" s="39"/>
      <c r="G377" s="39"/>
      <c r="H377" s="39"/>
      <c r="I377" s="39"/>
      <c r="J377" s="39"/>
      <c r="K377" s="39"/>
      <c r="L377" s="39"/>
      <c r="M377" s="39"/>
      <c r="N377" s="39"/>
      <c r="O377" s="39"/>
    </row>
    <row r="378" spans="4:15" x14ac:dyDescent="0.3">
      <c r="D378" s="40"/>
      <c r="E378" s="40"/>
      <c r="F378" s="39"/>
      <c r="G378" s="39"/>
      <c r="H378" s="39"/>
      <c r="I378" s="39"/>
      <c r="J378" s="39"/>
      <c r="K378" s="39"/>
      <c r="L378" s="39"/>
      <c r="M378" s="39"/>
      <c r="N378" s="39"/>
      <c r="O378" s="39"/>
    </row>
    <row r="379" spans="4:15" x14ac:dyDescent="0.3">
      <c r="D379" s="40"/>
      <c r="E379" s="40"/>
      <c r="F379" s="39"/>
      <c r="G379" s="39"/>
      <c r="H379" s="39"/>
      <c r="I379" s="39"/>
      <c r="J379" s="39"/>
      <c r="K379" s="39"/>
      <c r="L379" s="39"/>
      <c r="M379" s="39"/>
      <c r="N379" s="39"/>
      <c r="O379" s="39"/>
    </row>
    <row r="380" spans="4:15" x14ac:dyDescent="0.3">
      <c r="D380" s="40"/>
      <c r="E380" s="40"/>
      <c r="F380" s="39"/>
      <c r="G380" s="39"/>
      <c r="H380" s="39"/>
      <c r="I380" s="39"/>
      <c r="J380" s="39"/>
      <c r="K380" s="39"/>
      <c r="L380" s="39"/>
      <c r="M380" s="39"/>
      <c r="N380" s="39"/>
      <c r="O380" s="39"/>
    </row>
    <row r="381" spans="4:15" x14ac:dyDescent="0.3">
      <c r="D381" s="40"/>
      <c r="E381" s="40"/>
      <c r="F381" s="39"/>
      <c r="G381" s="39"/>
      <c r="H381" s="39"/>
      <c r="I381" s="39"/>
      <c r="J381" s="39"/>
      <c r="K381" s="39"/>
      <c r="L381" s="39"/>
      <c r="M381" s="39"/>
      <c r="N381" s="39"/>
      <c r="O381" s="39"/>
    </row>
    <row r="382" spans="4:15" x14ac:dyDescent="0.3">
      <c r="D382" s="40"/>
      <c r="E382" s="40"/>
      <c r="F382" s="39"/>
      <c r="G382" s="39"/>
      <c r="H382" s="39"/>
      <c r="I382" s="39"/>
      <c r="J382" s="39"/>
      <c r="K382" s="39"/>
      <c r="L382" s="39"/>
      <c r="M382" s="39"/>
      <c r="N382" s="39"/>
      <c r="O382" s="39"/>
    </row>
    <row r="383" spans="4:15" x14ac:dyDescent="0.3">
      <c r="D383" s="40"/>
      <c r="E383" s="40"/>
      <c r="F383" s="39"/>
      <c r="G383" s="39"/>
      <c r="H383" s="39"/>
      <c r="I383" s="39"/>
      <c r="J383" s="39"/>
      <c r="K383" s="39"/>
      <c r="L383" s="39"/>
      <c r="M383" s="39"/>
      <c r="N383" s="39"/>
      <c r="O383" s="39"/>
    </row>
    <row r="384" spans="4:15" x14ac:dyDescent="0.3">
      <c r="D384" s="40"/>
      <c r="E384" s="40"/>
      <c r="F384" s="39"/>
      <c r="G384" s="39"/>
      <c r="H384" s="39"/>
      <c r="I384" s="39"/>
      <c r="J384" s="39"/>
      <c r="K384" s="39"/>
      <c r="L384" s="39"/>
      <c r="M384" s="39"/>
      <c r="N384" s="39"/>
      <c r="O384" s="39"/>
    </row>
    <row r="385" spans="4:15" x14ac:dyDescent="0.3">
      <c r="D385" s="40"/>
      <c r="E385" s="40"/>
      <c r="F385" s="39"/>
      <c r="G385" s="39"/>
      <c r="H385" s="39"/>
      <c r="I385" s="39"/>
      <c r="J385" s="39"/>
      <c r="K385" s="39"/>
      <c r="L385" s="39"/>
      <c r="M385" s="39"/>
      <c r="N385" s="39"/>
      <c r="O385" s="39"/>
    </row>
    <row r="386" spans="4:15" x14ac:dyDescent="0.3">
      <c r="D386" s="40"/>
      <c r="E386" s="40"/>
      <c r="F386" s="39"/>
      <c r="G386" s="39"/>
      <c r="H386" s="39"/>
      <c r="I386" s="39"/>
      <c r="J386" s="39"/>
      <c r="K386" s="39"/>
      <c r="L386" s="39"/>
      <c r="M386" s="39"/>
      <c r="N386" s="39"/>
      <c r="O386" s="39"/>
    </row>
    <row r="387" spans="4:15" x14ac:dyDescent="0.3">
      <c r="D387" s="40"/>
      <c r="E387" s="40"/>
      <c r="F387" s="39"/>
      <c r="G387" s="39"/>
      <c r="H387" s="39"/>
      <c r="I387" s="39"/>
      <c r="J387" s="39"/>
      <c r="K387" s="39"/>
      <c r="L387" s="39"/>
      <c r="M387" s="39"/>
      <c r="N387" s="39"/>
      <c r="O387" s="39"/>
    </row>
    <row r="388" spans="4:15" x14ac:dyDescent="0.3">
      <c r="D388" s="40"/>
      <c r="E388" s="40"/>
      <c r="F388" s="39"/>
      <c r="G388" s="39"/>
      <c r="H388" s="39"/>
      <c r="I388" s="39"/>
      <c r="J388" s="39"/>
      <c r="K388" s="39"/>
      <c r="L388" s="39"/>
      <c r="M388" s="39"/>
      <c r="N388" s="39"/>
      <c r="O388" s="39"/>
    </row>
    <row r="389" spans="4:15" x14ac:dyDescent="0.3">
      <c r="D389" s="40"/>
      <c r="E389" s="40"/>
      <c r="F389" s="39"/>
      <c r="G389" s="39"/>
      <c r="H389" s="39"/>
      <c r="I389" s="39"/>
      <c r="J389" s="39"/>
      <c r="K389" s="39"/>
      <c r="L389" s="39"/>
      <c r="M389" s="39"/>
      <c r="N389" s="39"/>
      <c r="O389" s="39"/>
    </row>
    <row r="390" spans="4:15" x14ac:dyDescent="0.3">
      <c r="D390" s="40"/>
      <c r="E390" s="40"/>
      <c r="F390" s="39"/>
      <c r="G390" s="39"/>
      <c r="H390" s="39"/>
      <c r="I390" s="39"/>
      <c r="J390" s="39"/>
      <c r="K390" s="39"/>
      <c r="L390" s="39"/>
      <c r="M390" s="39"/>
      <c r="N390" s="39"/>
      <c r="O390" s="39"/>
    </row>
    <row r="391" spans="4:15" x14ac:dyDescent="0.3">
      <c r="D391" s="40"/>
      <c r="E391" s="40"/>
      <c r="F391" s="39"/>
      <c r="G391" s="39"/>
      <c r="H391" s="39"/>
      <c r="I391" s="39"/>
      <c r="J391" s="39"/>
      <c r="K391" s="39"/>
      <c r="L391" s="39"/>
      <c r="M391" s="39"/>
      <c r="N391" s="39"/>
      <c r="O391" s="39"/>
    </row>
    <row r="392" spans="4:15" x14ac:dyDescent="0.3">
      <c r="D392" s="40"/>
      <c r="E392" s="40"/>
      <c r="F392" s="39"/>
      <c r="G392" s="39"/>
      <c r="H392" s="39"/>
      <c r="I392" s="39"/>
      <c r="J392" s="39"/>
      <c r="K392" s="39"/>
      <c r="L392" s="39"/>
      <c r="M392" s="39"/>
      <c r="N392" s="39"/>
      <c r="O392" s="39"/>
    </row>
    <row r="393" spans="4:15" x14ac:dyDescent="0.3">
      <c r="D393" s="40"/>
      <c r="E393" s="40"/>
      <c r="F393" s="39"/>
      <c r="G393" s="39"/>
      <c r="H393" s="39"/>
      <c r="I393" s="39"/>
      <c r="J393" s="39"/>
      <c r="K393" s="39"/>
      <c r="L393" s="39"/>
      <c r="M393" s="39"/>
      <c r="N393" s="39"/>
      <c r="O393" s="39"/>
    </row>
    <row r="394" spans="4:15" x14ac:dyDescent="0.3">
      <c r="D394" s="40"/>
      <c r="E394" s="40"/>
      <c r="F394" s="39"/>
      <c r="G394" s="39"/>
      <c r="H394" s="39"/>
      <c r="I394" s="39"/>
      <c r="J394" s="39"/>
      <c r="K394" s="39"/>
      <c r="L394" s="39"/>
      <c r="M394" s="39"/>
      <c r="N394" s="39"/>
      <c r="O394" s="39"/>
    </row>
    <row r="395" spans="4:15" x14ac:dyDescent="0.3">
      <c r="D395" s="40"/>
      <c r="E395" s="40"/>
      <c r="F395" s="39"/>
      <c r="G395" s="39"/>
      <c r="H395" s="39"/>
      <c r="I395" s="39"/>
      <c r="J395" s="39"/>
      <c r="K395" s="39"/>
      <c r="L395" s="39"/>
      <c r="M395" s="39"/>
      <c r="N395" s="39"/>
      <c r="O395" s="39"/>
    </row>
    <row r="396" spans="4:15" x14ac:dyDescent="0.3">
      <c r="D396" s="40"/>
      <c r="E396" s="40"/>
      <c r="F396" s="39"/>
      <c r="G396" s="39"/>
      <c r="H396" s="39"/>
      <c r="I396" s="39"/>
      <c r="J396" s="39"/>
      <c r="K396" s="39"/>
      <c r="L396" s="39"/>
      <c r="M396" s="39"/>
      <c r="N396" s="39"/>
      <c r="O396" s="39"/>
    </row>
    <row r="397" spans="4:15" x14ac:dyDescent="0.3">
      <c r="D397" s="40"/>
      <c r="E397" s="40"/>
      <c r="F397" s="39"/>
      <c r="G397" s="39"/>
      <c r="H397" s="39"/>
      <c r="I397" s="39"/>
      <c r="J397" s="39"/>
      <c r="K397" s="39"/>
      <c r="L397" s="39"/>
      <c r="M397" s="39"/>
      <c r="N397" s="39"/>
      <c r="O397" s="39"/>
    </row>
    <row r="398" spans="4:15" x14ac:dyDescent="0.3">
      <c r="D398" s="40"/>
      <c r="E398" s="40"/>
      <c r="F398" s="39"/>
      <c r="G398" s="39"/>
      <c r="H398" s="39"/>
      <c r="I398" s="39"/>
      <c r="J398" s="39"/>
      <c r="K398" s="39"/>
      <c r="L398" s="39"/>
      <c r="M398" s="39"/>
      <c r="N398" s="39"/>
      <c r="O398" s="39"/>
    </row>
    <row r="399" spans="4:15" x14ac:dyDescent="0.3">
      <c r="D399" s="40"/>
      <c r="E399" s="40"/>
      <c r="F399" s="39"/>
      <c r="G399" s="39"/>
      <c r="H399" s="39"/>
      <c r="I399" s="39"/>
      <c r="J399" s="39"/>
      <c r="K399" s="39"/>
      <c r="L399" s="39"/>
      <c r="M399" s="39"/>
      <c r="N399" s="39"/>
      <c r="O399" s="39"/>
    </row>
    <row r="400" spans="4:15" x14ac:dyDescent="0.3">
      <c r="D400" s="40"/>
      <c r="E400" s="40"/>
      <c r="F400" s="39"/>
      <c r="G400" s="39"/>
      <c r="H400" s="39"/>
      <c r="I400" s="39"/>
      <c r="J400" s="39"/>
      <c r="K400" s="39"/>
      <c r="L400" s="39"/>
      <c r="M400" s="39"/>
      <c r="N400" s="39"/>
      <c r="O400" s="39"/>
    </row>
    <row r="401" spans="4:15" x14ac:dyDescent="0.3">
      <c r="D401" s="40"/>
      <c r="E401" s="40"/>
      <c r="F401" s="39"/>
      <c r="G401" s="39"/>
      <c r="H401" s="39"/>
      <c r="I401" s="39"/>
      <c r="J401" s="39"/>
      <c r="K401" s="39"/>
      <c r="L401" s="39"/>
      <c r="M401" s="39"/>
      <c r="N401" s="39"/>
      <c r="O401" s="39"/>
    </row>
    <row r="402" spans="4:15" x14ac:dyDescent="0.3">
      <c r="D402" s="40"/>
      <c r="E402" s="40"/>
      <c r="F402" s="39"/>
      <c r="G402" s="39"/>
      <c r="H402" s="39"/>
      <c r="I402" s="39"/>
      <c r="J402" s="39"/>
      <c r="K402" s="39"/>
      <c r="L402" s="39"/>
      <c r="M402" s="39"/>
      <c r="N402" s="39"/>
      <c r="O402" s="39"/>
    </row>
    <row r="403" spans="4:15" x14ac:dyDescent="0.3">
      <c r="D403" s="40"/>
      <c r="E403" s="40"/>
      <c r="F403" s="39"/>
      <c r="G403" s="39"/>
      <c r="H403" s="39"/>
      <c r="I403" s="39"/>
      <c r="J403" s="39"/>
      <c r="K403" s="39"/>
      <c r="L403" s="39"/>
      <c r="M403" s="39"/>
      <c r="N403" s="39"/>
      <c r="O403" s="39"/>
    </row>
    <row r="404" spans="4:15" x14ac:dyDescent="0.3">
      <c r="D404" s="40"/>
      <c r="E404" s="40"/>
      <c r="F404" s="39"/>
      <c r="G404" s="39"/>
      <c r="H404" s="39"/>
      <c r="I404" s="39"/>
      <c r="J404" s="39"/>
      <c r="K404" s="39"/>
      <c r="L404" s="39"/>
      <c r="M404" s="39"/>
      <c r="N404" s="39"/>
      <c r="O404" s="39"/>
    </row>
    <row r="405" spans="4:15" x14ac:dyDescent="0.3">
      <c r="D405" s="40"/>
      <c r="E405" s="40"/>
      <c r="F405" s="39"/>
      <c r="G405" s="39"/>
      <c r="H405" s="39"/>
      <c r="I405" s="39"/>
      <c r="J405" s="39"/>
      <c r="K405" s="39"/>
      <c r="L405" s="39"/>
      <c r="M405" s="39"/>
      <c r="N405" s="39"/>
      <c r="O405" s="39"/>
    </row>
    <row r="406" spans="4:15" x14ac:dyDescent="0.3">
      <c r="D406" s="40"/>
      <c r="E406" s="40"/>
      <c r="F406" s="39"/>
      <c r="G406" s="39"/>
      <c r="H406" s="39"/>
      <c r="I406" s="39"/>
      <c r="J406" s="39"/>
      <c r="K406" s="39"/>
      <c r="L406" s="39"/>
      <c r="M406" s="39"/>
      <c r="N406" s="39"/>
      <c r="O406" s="39"/>
    </row>
    <row r="407" spans="4:15" x14ac:dyDescent="0.3">
      <c r="D407" s="40"/>
      <c r="E407" s="40"/>
      <c r="F407" s="39"/>
      <c r="G407" s="39"/>
      <c r="H407" s="39"/>
      <c r="I407" s="39"/>
      <c r="J407" s="39"/>
      <c r="K407" s="39"/>
      <c r="L407" s="39"/>
      <c r="M407" s="39"/>
      <c r="N407" s="39"/>
      <c r="O407" s="39"/>
    </row>
    <row r="408" spans="4:15" x14ac:dyDescent="0.3">
      <c r="D408" s="40"/>
      <c r="E408" s="40"/>
      <c r="F408" s="39"/>
      <c r="G408" s="39"/>
      <c r="H408" s="39"/>
      <c r="I408" s="39"/>
      <c r="J408" s="39"/>
      <c r="K408" s="39"/>
      <c r="L408" s="39"/>
      <c r="M408" s="39"/>
      <c r="N408" s="39"/>
      <c r="O408" s="39"/>
    </row>
    <row r="409" spans="4:15" x14ac:dyDescent="0.3">
      <c r="D409" s="40"/>
      <c r="E409" s="40"/>
      <c r="F409" s="39"/>
      <c r="G409" s="39"/>
      <c r="H409" s="39"/>
      <c r="I409" s="39"/>
      <c r="J409" s="39"/>
      <c r="K409" s="39"/>
      <c r="L409" s="39"/>
      <c r="M409" s="39"/>
      <c r="N409" s="39"/>
      <c r="O409" s="39"/>
    </row>
    <row r="410" spans="4:15" x14ac:dyDescent="0.3">
      <c r="D410" s="40"/>
      <c r="E410" s="40"/>
      <c r="F410" s="39"/>
      <c r="G410" s="39"/>
      <c r="H410" s="39"/>
      <c r="I410" s="39"/>
      <c r="J410" s="39"/>
      <c r="K410" s="39"/>
      <c r="L410" s="39"/>
      <c r="M410" s="39"/>
      <c r="N410" s="39"/>
      <c r="O410" s="39"/>
    </row>
    <row r="411" spans="4:15" x14ac:dyDescent="0.3">
      <c r="D411" s="40"/>
      <c r="E411" s="40"/>
      <c r="F411" s="39"/>
      <c r="G411" s="39"/>
      <c r="H411" s="39"/>
      <c r="I411" s="39"/>
      <c r="J411" s="39"/>
      <c r="K411" s="39"/>
      <c r="L411" s="39"/>
      <c r="M411" s="39"/>
      <c r="N411" s="39"/>
      <c r="O411" s="39"/>
    </row>
    <row r="412" spans="4:15" x14ac:dyDescent="0.3">
      <c r="D412" s="40"/>
      <c r="E412" s="40"/>
      <c r="F412" s="39"/>
      <c r="G412" s="39"/>
      <c r="H412" s="39"/>
      <c r="I412" s="39"/>
      <c r="J412" s="39"/>
      <c r="K412" s="39"/>
      <c r="L412" s="39"/>
      <c r="M412" s="39"/>
      <c r="N412" s="39"/>
      <c r="O412" s="39"/>
    </row>
    <row r="413" spans="4:15" x14ac:dyDescent="0.3">
      <c r="D413" s="40"/>
      <c r="E413" s="40"/>
      <c r="F413" s="39"/>
      <c r="G413" s="39"/>
      <c r="H413" s="39"/>
      <c r="I413" s="39"/>
      <c r="J413" s="39"/>
      <c r="K413" s="39"/>
      <c r="L413" s="39"/>
      <c r="M413" s="39"/>
      <c r="N413" s="39"/>
      <c r="O413" s="39"/>
    </row>
    <row r="414" spans="4:15" x14ac:dyDescent="0.3">
      <c r="D414" s="40"/>
      <c r="E414" s="40"/>
      <c r="F414" s="39"/>
      <c r="G414" s="39"/>
      <c r="H414" s="39"/>
      <c r="I414" s="39"/>
      <c r="J414" s="39"/>
      <c r="K414" s="39"/>
      <c r="L414" s="39"/>
      <c r="M414" s="39"/>
      <c r="N414" s="39"/>
      <c r="O414" s="39"/>
    </row>
    <row r="415" spans="4:15" x14ac:dyDescent="0.3">
      <c r="D415" s="40"/>
      <c r="E415" s="40"/>
      <c r="F415" s="39"/>
      <c r="G415" s="39"/>
      <c r="H415" s="39"/>
      <c r="I415" s="39"/>
      <c r="J415" s="39"/>
      <c r="K415" s="39"/>
      <c r="L415" s="39"/>
      <c r="M415" s="39"/>
      <c r="N415" s="39"/>
      <c r="O415" s="39"/>
    </row>
    <row r="416" spans="4:15" x14ac:dyDescent="0.3">
      <c r="D416" s="40"/>
      <c r="E416" s="40"/>
      <c r="F416" s="39"/>
      <c r="G416" s="39"/>
      <c r="H416" s="39"/>
      <c r="I416" s="39"/>
      <c r="J416" s="39"/>
      <c r="K416" s="39"/>
      <c r="L416" s="39"/>
      <c r="M416" s="39"/>
      <c r="N416" s="39"/>
      <c r="O416" s="39"/>
    </row>
    <row r="417" spans="4:15" x14ac:dyDescent="0.3">
      <c r="D417" s="40"/>
      <c r="E417" s="40"/>
      <c r="F417" s="39"/>
      <c r="G417" s="39"/>
      <c r="H417" s="39"/>
      <c r="I417" s="39"/>
      <c r="J417" s="39"/>
      <c r="K417" s="39"/>
      <c r="L417" s="39"/>
      <c r="M417" s="39"/>
      <c r="N417" s="39"/>
      <c r="O417" s="39"/>
    </row>
    <row r="418" spans="4:15" x14ac:dyDescent="0.3">
      <c r="D418" s="40"/>
      <c r="E418" s="40"/>
      <c r="F418" s="39"/>
      <c r="G418" s="39"/>
      <c r="H418" s="39"/>
      <c r="I418" s="39"/>
      <c r="J418" s="39"/>
      <c r="K418" s="39"/>
      <c r="L418" s="39"/>
      <c r="M418" s="39"/>
      <c r="N418" s="39"/>
      <c r="O418" s="39"/>
    </row>
    <row r="419" spans="4:15" x14ac:dyDescent="0.3">
      <c r="D419" s="40"/>
      <c r="E419" s="40"/>
      <c r="F419" s="39"/>
      <c r="G419" s="39"/>
      <c r="H419" s="39"/>
      <c r="I419" s="39"/>
      <c r="J419" s="39"/>
      <c r="K419" s="39"/>
      <c r="L419" s="39"/>
      <c r="M419" s="39"/>
      <c r="N419" s="39"/>
      <c r="O419" s="39"/>
    </row>
    <row r="420" spans="4:15" x14ac:dyDescent="0.3">
      <c r="D420" s="40"/>
      <c r="E420" s="40"/>
      <c r="F420" s="39"/>
      <c r="G420" s="39"/>
      <c r="H420" s="39"/>
      <c r="I420" s="39"/>
      <c r="J420" s="39"/>
      <c r="K420" s="39"/>
      <c r="L420" s="39"/>
      <c r="M420" s="39"/>
      <c r="N420" s="39"/>
      <c r="O420" s="39"/>
    </row>
    <row r="421" spans="4:15" x14ac:dyDescent="0.3">
      <c r="D421" s="40"/>
      <c r="E421" s="40"/>
      <c r="F421" s="39"/>
      <c r="G421" s="39"/>
      <c r="H421" s="39"/>
      <c r="I421" s="39"/>
      <c r="J421" s="39"/>
      <c r="K421" s="39"/>
      <c r="L421" s="39"/>
      <c r="M421" s="39"/>
      <c r="N421" s="39"/>
      <c r="O421" s="39"/>
    </row>
    <row r="422" spans="4:15" x14ac:dyDescent="0.3">
      <c r="D422" s="40"/>
      <c r="E422" s="40"/>
      <c r="F422" s="39"/>
      <c r="G422" s="39"/>
      <c r="H422" s="39"/>
      <c r="I422" s="39"/>
      <c r="J422" s="39"/>
      <c r="K422" s="39"/>
      <c r="L422" s="39"/>
      <c r="M422" s="39"/>
      <c r="N422" s="39"/>
      <c r="O422" s="39"/>
    </row>
    <row r="423" spans="4:15" x14ac:dyDescent="0.3">
      <c r="D423" s="40"/>
      <c r="E423" s="40"/>
      <c r="F423" s="39"/>
      <c r="G423" s="39"/>
      <c r="H423" s="39"/>
      <c r="I423" s="39"/>
      <c r="J423" s="39"/>
      <c r="K423" s="39"/>
      <c r="L423" s="39"/>
      <c r="M423" s="39"/>
      <c r="N423" s="39"/>
      <c r="O423" s="39"/>
    </row>
    <row r="424" spans="4:15" x14ac:dyDescent="0.3">
      <c r="D424" s="40"/>
      <c r="E424" s="40"/>
      <c r="F424" s="39"/>
      <c r="G424" s="39"/>
      <c r="H424" s="39"/>
      <c r="I424" s="39"/>
      <c r="J424" s="39"/>
      <c r="K424" s="39"/>
      <c r="L424" s="39"/>
      <c r="M424" s="39"/>
      <c r="N424" s="39"/>
      <c r="O424" s="39"/>
    </row>
    <row r="425" spans="4:15" x14ac:dyDescent="0.3">
      <c r="D425" s="40"/>
      <c r="E425" s="40"/>
      <c r="F425" s="39"/>
      <c r="G425" s="39"/>
      <c r="H425" s="39"/>
      <c r="I425" s="39"/>
      <c r="J425" s="39"/>
      <c r="K425" s="39"/>
      <c r="L425" s="39"/>
      <c r="M425" s="39"/>
      <c r="N425" s="39"/>
      <c r="O425" s="39"/>
    </row>
    <row r="426" spans="4:15" x14ac:dyDescent="0.3">
      <c r="D426" s="40"/>
      <c r="E426" s="40"/>
      <c r="F426" s="39"/>
      <c r="G426" s="39"/>
      <c r="H426" s="39"/>
      <c r="I426" s="39"/>
      <c r="J426" s="39"/>
      <c r="K426" s="39"/>
      <c r="L426" s="39"/>
      <c r="M426" s="39"/>
      <c r="N426" s="39"/>
      <c r="O426" s="39"/>
    </row>
    <row r="427" spans="4:15" x14ac:dyDescent="0.3">
      <c r="D427" s="40"/>
      <c r="E427" s="40"/>
      <c r="F427" s="39"/>
      <c r="G427" s="39"/>
      <c r="H427" s="39"/>
      <c r="I427" s="39"/>
      <c r="J427" s="39"/>
      <c r="K427" s="39"/>
      <c r="L427" s="39"/>
      <c r="M427" s="39"/>
      <c r="N427" s="39"/>
      <c r="O427" s="39"/>
    </row>
    <row r="428" spans="4:15" x14ac:dyDescent="0.3">
      <c r="D428" s="40"/>
      <c r="E428" s="40"/>
      <c r="F428" s="39"/>
      <c r="G428" s="39"/>
      <c r="H428" s="39"/>
      <c r="I428" s="39"/>
      <c r="J428" s="39"/>
      <c r="K428" s="39"/>
      <c r="L428" s="39"/>
      <c r="M428" s="39"/>
      <c r="N428" s="39"/>
      <c r="O428" s="39"/>
    </row>
    <row r="429" spans="4:15" x14ac:dyDescent="0.3">
      <c r="D429" s="40"/>
      <c r="E429" s="40"/>
      <c r="F429" s="39"/>
      <c r="G429" s="39"/>
      <c r="H429" s="39"/>
      <c r="I429" s="39"/>
      <c r="J429" s="39"/>
      <c r="K429" s="39"/>
      <c r="L429" s="39"/>
      <c r="M429" s="39"/>
      <c r="N429" s="39"/>
      <c r="O429" s="39"/>
    </row>
    <row r="430" spans="4:15" x14ac:dyDescent="0.3">
      <c r="D430" s="40"/>
      <c r="E430" s="40"/>
      <c r="F430" s="39"/>
      <c r="G430" s="39"/>
      <c r="H430" s="39"/>
      <c r="I430" s="39"/>
      <c r="J430" s="39"/>
      <c r="K430" s="39"/>
      <c r="L430" s="39"/>
      <c r="M430" s="39"/>
      <c r="N430" s="39"/>
      <c r="O430" s="39"/>
    </row>
    <row r="431" spans="4:15" x14ac:dyDescent="0.3">
      <c r="D431" s="40"/>
      <c r="E431" s="40"/>
      <c r="F431" s="39"/>
      <c r="G431" s="39"/>
      <c r="H431" s="39"/>
      <c r="I431" s="39"/>
      <c r="J431" s="39"/>
      <c r="K431" s="39"/>
      <c r="L431" s="39"/>
      <c r="M431" s="39"/>
      <c r="N431" s="39"/>
      <c r="O431" s="39"/>
    </row>
    <row r="432" spans="4:15" x14ac:dyDescent="0.3">
      <c r="D432" s="40"/>
      <c r="E432" s="40"/>
      <c r="F432" s="39"/>
      <c r="G432" s="39"/>
      <c r="H432" s="39"/>
      <c r="I432" s="39"/>
      <c r="J432" s="39"/>
      <c r="K432" s="39"/>
      <c r="L432" s="39"/>
      <c r="M432" s="39"/>
      <c r="N432" s="39"/>
      <c r="O432" s="39"/>
    </row>
    <row r="433" spans="4:15" x14ac:dyDescent="0.3">
      <c r="D433" s="40"/>
      <c r="E433" s="40"/>
      <c r="F433" s="39"/>
      <c r="G433" s="39"/>
      <c r="H433" s="39"/>
      <c r="I433" s="39"/>
      <c r="J433" s="39"/>
      <c r="K433" s="39"/>
      <c r="L433" s="39"/>
      <c r="M433" s="39"/>
      <c r="N433" s="39"/>
      <c r="O433" s="39"/>
    </row>
    <row r="434" spans="4:15" x14ac:dyDescent="0.3">
      <c r="D434" s="40"/>
      <c r="E434" s="40"/>
      <c r="F434" s="39"/>
      <c r="G434" s="39"/>
      <c r="H434" s="39"/>
      <c r="I434" s="39"/>
      <c r="J434" s="39"/>
      <c r="K434" s="39"/>
      <c r="L434" s="39"/>
      <c r="M434" s="39"/>
      <c r="N434" s="39"/>
      <c r="O434" s="39"/>
    </row>
    <row r="435" spans="4:15" x14ac:dyDescent="0.3">
      <c r="D435" s="40"/>
      <c r="E435" s="40"/>
      <c r="F435" s="39"/>
      <c r="G435" s="39"/>
      <c r="H435" s="39"/>
      <c r="I435" s="39"/>
      <c r="J435" s="39"/>
      <c r="K435" s="39"/>
      <c r="L435" s="39"/>
      <c r="M435" s="39"/>
      <c r="N435" s="39"/>
      <c r="O435" s="39"/>
    </row>
    <row r="436" spans="4:15" x14ac:dyDescent="0.3">
      <c r="D436" s="40"/>
      <c r="E436" s="40"/>
      <c r="F436" s="39"/>
      <c r="G436" s="39"/>
      <c r="H436" s="39"/>
      <c r="I436" s="39"/>
      <c r="J436" s="39"/>
      <c r="K436" s="39"/>
      <c r="L436" s="39"/>
      <c r="M436" s="39"/>
      <c r="N436" s="39"/>
      <c r="O436" s="39"/>
    </row>
    <row r="437" spans="4:15" x14ac:dyDescent="0.3">
      <c r="D437" s="40"/>
      <c r="E437" s="40"/>
      <c r="F437" s="39"/>
      <c r="G437" s="39"/>
      <c r="H437" s="39"/>
      <c r="I437" s="39"/>
      <c r="J437" s="39"/>
      <c r="K437" s="39"/>
      <c r="L437" s="39"/>
      <c r="M437" s="39"/>
      <c r="N437" s="39"/>
      <c r="O437" s="39"/>
    </row>
    <row r="438" spans="4:15" x14ac:dyDescent="0.3">
      <c r="D438" s="40"/>
      <c r="E438" s="40"/>
      <c r="F438" s="39"/>
      <c r="G438" s="39"/>
      <c r="H438" s="39"/>
      <c r="I438" s="39"/>
      <c r="J438" s="39"/>
      <c r="K438" s="39"/>
      <c r="L438" s="39"/>
      <c r="M438" s="39"/>
      <c r="N438" s="39"/>
      <c r="O438" s="39"/>
    </row>
    <row r="439" spans="4:15" x14ac:dyDescent="0.3">
      <c r="D439" s="40"/>
      <c r="E439" s="40"/>
      <c r="F439" s="39"/>
      <c r="G439" s="39"/>
      <c r="H439" s="39"/>
      <c r="I439" s="39"/>
      <c r="J439" s="39"/>
      <c r="K439" s="39"/>
      <c r="L439" s="39"/>
      <c r="M439" s="39"/>
      <c r="N439" s="39"/>
      <c r="O439" s="39"/>
    </row>
    <row r="440" spans="4:15" x14ac:dyDescent="0.3">
      <c r="D440" s="40"/>
      <c r="E440" s="40"/>
      <c r="F440" s="39"/>
      <c r="G440" s="39"/>
      <c r="H440" s="39"/>
      <c r="I440" s="39"/>
      <c r="J440" s="39"/>
      <c r="K440" s="39"/>
      <c r="L440" s="39"/>
      <c r="M440" s="39"/>
      <c r="N440" s="39"/>
      <c r="O440" s="39"/>
    </row>
    <row r="441" spans="4:15" x14ac:dyDescent="0.3">
      <c r="D441" s="40"/>
      <c r="E441" s="40"/>
      <c r="F441" s="39"/>
      <c r="G441" s="39"/>
      <c r="H441" s="39"/>
      <c r="I441" s="39"/>
      <c r="J441" s="39"/>
      <c r="K441" s="39"/>
      <c r="L441" s="39"/>
      <c r="M441" s="39"/>
      <c r="N441" s="39"/>
      <c r="O441" s="39"/>
    </row>
    <row r="442" spans="4:15" x14ac:dyDescent="0.3">
      <c r="D442" s="40"/>
      <c r="E442" s="40"/>
      <c r="F442" s="39"/>
      <c r="G442" s="39"/>
      <c r="H442" s="39"/>
      <c r="I442" s="39"/>
      <c r="J442" s="39"/>
      <c r="K442" s="39"/>
      <c r="L442" s="39"/>
      <c r="M442" s="39"/>
      <c r="N442" s="39"/>
      <c r="O442" s="39"/>
    </row>
    <row r="443" spans="4:15" x14ac:dyDescent="0.3">
      <c r="D443" s="40"/>
      <c r="E443" s="40"/>
      <c r="F443" s="39"/>
      <c r="G443" s="39"/>
      <c r="H443" s="39"/>
      <c r="I443" s="39"/>
      <c r="J443" s="39"/>
      <c r="K443" s="39"/>
      <c r="L443" s="39"/>
      <c r="M443" s="39"/>
      <c r="N443" s="39"/>
      <c r="O443" s="39"/>
    </row>
    <row r="444" spans="4:15" x14ac:dyDescent="0.3">
      <c r="D444" s="40"/>
      <c r="E444" s="40"/>
      <c r="F444" s="39"/>
      <c r="G444" s="39"/>
      <c r="H444" s="39"/>
      <c r="I444" s="39"/>
      <c r="J444" s="39"/>
      <c r="K444" s="39"/>
      <c r="L444" s="39"/>
      <c r="M444" s="39"/>
      <c r="N444" s="39"/>
      <c r="O444" s="39"/>
    </row>
    <row r="445" spans="4:15" x14ac:dyDescent="0.3">
      <c r="D445" s="40"/>
      <c r="E445" s="40"/>
      <c r="F445" s="39"/>
      <c r="G445" s="39"/>
      <c r="H445" s="39"/>
      <c r="I445" s="39"/>
      <c r="J445" s="39"/>
      <c r="K445" s="39"/>
      <c r="L445" s="39"/>
      <c r="M445" s="39"/>
      <c r="N445" s="39"/>
      <c r="O445" s="39"/>
    </row>
    <row r="446" spans="4:15" x14ac:dyDescent="0.3">
      <c r="D446" s="40"/>
      <c r="E446" s="40"/>
      <c r="F446" s="39"/>
      <c r="G446" s="39"/>
      <c r="H446" s="39"/>
      <c r="I446" s="39"/>
      <c r="J446" s="39"/>
      <c r="K446" s="39"/>
      <c r="L446" s="39"/>
      <c r="M446" s="39"/>
      <c r="N446" s="39"/>
      <c r="O446" s="39"/>
    </row>
    <row r="447" spans="4:15" x14ac:dyDescent="0.3">
      <c r="D447" s="40"/>
      <c r="E447" s="40"/>
      <c r="F447" s="39"/>
      <c r="G447" s="39"/>
      <c r="H447" s="39"/>
      <c r="I447" s="39"/>
      <c r="J447" s="39"/>
      <c r="K447" s="39"/>
      <c r="L447" s="39"/>
      <c r="M447" s="39"/>
      <c r="N447" s="39"/>
      <c r="O447" s="39"/>
    </row>
    <row r="448" spans="4:15" x14ac:dyDescent="0.3">
      <c r="D448" s="40"/>
      <c r="E448" s="40"/>
      <c r="F448" s="39"/>
      <c r="G448" s="39"/>
      <c r="H448" s="39"/>
      <c r="I448" s="39"/>
      <c r="J448" s="39"/>
      <c r="K448" s="39"/>
      <c r="L448" s="39"/>
      <c r="M448" s="39"/>
      <c r="N448" s="39"/>
      <c r="O448" s="39"/>
    </row>
    <row r="449" spans="4:15" x14ac:dyDescent="0.3">
      <c r="D449" s="40"/>
      <c r="E449" s="40"/>
      <c r="F449" s="39"/>
      <c r="G449" s="39"/>
      <c r="H449" s="39"/>
      <c r="I449" s="39"/>
      <c r="J449" s="39"/>
      <c r="K449" s="39"/>
      <c r="L449" s="39"/>
      <c r="M449" s="39"/>
      <c r="N449" s="39"/>
      <c r="O449" s="39"/>
    </row>
    <row r="450" spans="4:15" x14ac:dyDescent="0.3">
      <c r="D450" s="40"/>
      <c r="E450" s="40"/>
      <c r="F450" s="39"/>
      <c r="G450" s="39"/>
      <c r="H450" s="39"/>
      <c r="I450" s="39"/>
      <c r="J450" s="39"/>
      <c r="K450" s="39"/>
      <c r="L450" s="39"/>
      <c r="M450" s="39"/>
      <c r="N450" s="39"/>
      <c r="O450" s="39"/>
    </row>
    <row r="451" spans="4:15" x14ac:dyDescent="0.3">
      <c r="D451" s="40"/>
      <c r="E451" s="40"/>
      <c r="F451" s="39"/>
      <c r="G451" s="39"/>
      <c r="H451" s="39"/>
      <c r="I451" s="39"/>
      <c r="J451" s="39"/>
      <c r="K451" s="39"/>
      <c r="L451" s="39"/>
      <c r="M451" s="39"/>
      <c r="N451" s="39"/>
      <c r="O451" s="39"/>
    </row>
    <row r="452" spans="4:15" x14ac:dyDescent="0.3">
      <c r="D452" s="40"/>
      <c r="E452" s="40"/>
      <c r="F452" s="39"/>
      <c r="G452" s="39"/>
      <c r="H452" s="39"/>
      <c r="I452" s="39"/>
      <c r="J452" s="39"/>
      <c r="K452" s="39"/>
      <c r="L452" s="39"/>
      <c r="M452" s="39"/>
      <c r="N452" s="39"/>
      <c r="O452" s="39"/>
    </row>
    <row r="453" spans="4:15" x14ac:dyDescent="0.3">
      <c r="D453" s="40"/>
      <c r="E453" s="40"/>
      <c r="F453" s="39"/>
      <c r="G453" s="39"/>
      <c r="H453" s="39"/>
      <c r="I453" s="39"/>
      <c r="J453" s="39"/>
      <c r="K453" s="39"/>
      <c r="L453" s="39"/>
      <c r="M453" s="39"/>
      <c r="N453" s="39"/>
      <c r="O453" s="39"/>
    </row>
    <row r="454" spans="4:15" x14ac:dyDescent="0.3">
      <c r="D454" s="40"/>
      <c r="E454" s="40"/>
      <c r="F454" s="39"/>
      <c r="G454" s="39"/>
      <c r="H454" s="39"/>
      <c r="I454" s="39"/>
      <c r="J454" s="39"/>
      <c r="K454" s="39"/>
      <c r="L454" s="39"/>
      <c r="M454" s="39"/>
      <c r="N454" s="39"/>
      <c r="O454" s="39"/>
    </row>
    <row r="455" spans="4:15" x14ac:dyDescent="0.3">
      <c r="D455" s="40"/>
      <c r="E455" s="40"/>
      <c r="F455" s="39"/>
      <c r="G455" s="39"/>
      <c r="H455" s="39"/>
      <c r="I455" s="39"/>
      <c r="J455" s="39"/>
      <c r="K455" s="39"/>
      <c r="L455" s="39"/>
      <c r="M455" s="39"/>
      <c r="N455" s="39"/>
      <c r="O455" s="39"/>
    </row>
    <row r="456" spans="4:15" x14ac:dyDescent="0.3">
      <c r="D456" s="40"/>
      <c r="E456" s="40"/>
      <c r="F456" s="39"/>
      <c r="G456" s="39"/>
      <c r="H456" s="39"/>
      <c r="I456" s="39"/>
      <c r="J456" s="39"/>
      <c r="K456" s="39"/>
      <c r="L456" s="39"/>
      <c r="M456" s="39"/>
      <c r="N456" s="39"/>
      <c r="O456" s="39"/>
    </row>
    <row r="457" spans="4:15" x14ac:dyDescent="0.3">
      <c r="D457" s="40"/>
      <c r="E457" s="40"/>
      <c r="F457" s="39"/>
      <c r="G457" s="39"/>
      <c r="H457" s="39"/>
      <c r="I457" s="39"/>
      <c r="J457" s="39"/>
      <c r="K457" s="39"/>
      <c r="L457" s="39"/>
      <c r="M457" s="39"/>
      <c r="N457" s="39"/>
      <c r="O457" s="39"/>
    </row>
    <row r="458" spans="4:15" x14ac:dyDescent="0.3">
      <c r="D458" s="40"/>
      <c r="E458" s="40"/>
      <c r="F458" s="39"/>
      <c r="G458" s="39"/>
      <c r="H458" s="39"/>
      <c r="I458" s="39"/>
      <c r="J458" s="39"/>
      <c r="K458" s="39"/>
      <c r="L458" s="39"/>
      <c r="M458" s="39"/>
      <c r="N458" s="39"/>
      <c r="O458" s="39"/>
    </row>
    <row r="459" spans="4:15" x14ac:dyDescent="0.3">
      <c r="D459" s="40"/>
      <c r="E459" s="40"/>
      <c r="F459" s="39"/>
      <c r="G459" s="39"/>
      <c r="H459" s="39"/>
      <c r="I459" s="39"/>
      <c r="J459" s="39"/>
      <c r="K459" s="39"/>
      <c r="L459" s="39"/>
      <c r="M459" s="39"/>
      <c r="N459" s="39"/>
      <c r="O459" s="39"/>
    </row>
    <row r="460" spans="4:15" x14ac:dyDescent="0.3">
      <c r="D460" s="40"/>
      <c r="E460" s="40"/>
      <c r="F460" s="39"/>
      <c r="G460" s="39"/>
      <c r="H460" s="39"/>
      <c r="I460" s="39"/>
      <c r="J460" s="39"/>
      <c r="K460" s="39"/>
      <c r="L460" s="39"/>
      <c r="M460" s="39"/>
      <c r="N460" s="39"/>
      <c r="O460" s="39"/>
    </row>
    <row r="461" spans="4:15" x14ac:dyDescent="0.3">
      <c r="D461" s="40"/>
      <c r="E461" s="40"/>
      <c r="F461" s="39"/>
      <c r="G461" s="39"/>
      <c r="H461" s="39"/>
      <c r="I461" s="39"/>
      <c r="J461" s="39"/>
      <c r="K461" s="39"/>
      <c r="L461" s="39"/>
      <c r="M461" s="39"/>
      <c r="N461" s="39"/>
      <c r="O461" s="39"/>
    </row>
    <row r="462" spans="4:15" x14ac:dyDescent="0.3">
      <c r="D462" s="40"/>
      <c r="E462" s="40"/>
      <c r="F462" s="39"/>
      <c r="G462" s="39"/>
      <c r="H462" s="39"/>
      <c r="I462" s="39"/>
      <c r="J462" s="39"/>
      <c r="K462" s="39"/>
      <c r="L462" s="39"/>
      <c r="M462" s="39"/>
      <c r="N462" s="39"/>
      <c r="O462" s="39"/>
    </row>
    <row r="463" spans="4:15" x14ac:dyDescent="0.3">
      <c r="D463" s="40"/>
      <c r="E463" s="40"/>
      <c r="F463" s="39"/>
      <c r="G463" s="39"/>
      <c r="H463" s="39"/>
      <c r="I463" s="39"/>
      <c r="J463" s="39"/>
      <c r="K463" s="39"/>
      <c r="L463" s="39"/>
      <c r="M463" s="39"/>
      <c r="N463" s="39"/>
      <c r="O463" s="39"/>
    </row>
    <row r="464" spans="4:15" x14ac:dyDescent="0.3">
      <c r="D464" s="40"/>
      <c r="E464" s="40"/>
      <c r="F464" s="39"/>
      <c r="G464" s="39"/>
      <c r="H464" s="39"/>
      <c r="I464" s="39"/>
      <c r="J464" s="39"/>
      <c r="K464" s="39"/>
      <c r="L464" s="39"/>
      <c r="M464" s="39"/>
      <c r="N464" s="39"/>
      <c r="O464" s="39"/>
    </row>
    <row r="465" spans="4:15" x14ac:dyDescent="0.3">
      <c r="D465" s="40"/>
      <c r="E465" s="40"/>
      <c r="F465" s="39"/>
      <c r="G465" s="39"/>
      <c r="H465" s="39"/>
      <c r="I465" s="39"/>
      <c r="J465" s="39"/>
      <c r="K465" s="39"/>
      <c r="L465" s="39"/>
      <c r="M465" s="39"/>
      <c r="N465" s="39"/>
      <c r="O465" s="39"/>
    </row>
    <row r="466" spans="4:15" x14ac:dyDescent="0.3">
      <c r="D466" s="40"/>
      <c r="E466" s="40"/>
      <c r="F466" s="39"/>
      <c r="G466" s="39"/>
      <c r="H466" s="39"/>
      <c r="I466" s="39"/>
      <c r="J466" s="39"/>
      <c r="K466" s="39"/>
      <c r="L466" s="39"/>
      <c r="M466" s="39"/>
      <c r="N466" s="39"/>
      <c r="O466" s="39"/>
    </row>
    <row r="467" spans="4:15" x14ac:dyDescent="0.3">
      <c r="D467" s="40"/>
      <c r="E467" s="40"/>
      <c r="F467" s="39"/>
      <c r="G467" s="39"/>
      <c r="H467" s="39"/>
      <c r="I467" s="39"/>
      <c r="J467" s="39"/>
      <c r="K467" s="39"/>
      <c r="L467" s="39"/>
      <c r="M467" s="39"/>
      <c r="N467" s="39"/>
      <c r="O467" s="39"/>
    </row>
    <row r="468" spans="4:15" x14ac:dyDescent="0.3">
      <c r="D468" s="40"/>
      <c r="E468" s="40"/>
      <c r="F468" s="39"/>
      <c r="G468" s="39"/>
      <c r="H468" s="39"/>
      <c r="I468" s="39"/>
      <c r="J468" s="39"/>
      <c r="K468" s="39"/>
      <c r="L468" s="39"/>
      <c r="M468" s="39"/>
      <c r="N468" s="39"/>
      <c r="O468" s="39"/>
    </row>
    <row r="469" spans="4:15" x14ac:dyDescent="0.3">
      <c r="D469" s="40"/>
      <c r="E469" s="40"/>
      <c r="F469" s="39"/>
      <c r="G469" s="39"/>
      <c r="H469" s="39"/>
      <c r="I469" s="39"/>
      <c r="J469" s="39"/>
      <c r="K469" s="39"/>
      <c r="L469" s="39"/>
      <c r="M469" s="39"/>
      <c r="N469" s="39"/>
      <c r="O469" s="39"/>
    </row>
    <row r="470" spans="4:15" x14ac:dyDescent="0.3">
      <c r="D470" s="40"/>
      <c r="E470" s="40"/>
      <c r="F470" s="39"/>
      <c r="G470" s="39"/>
      <c r="H470" s="39"/>
      <c r="I470" s="39"/>
      <c r="J470" s="39"/>
      <c r="K470" s="39"/>
      <c r="L470" s="39"/>
      <c r="M470" s="39"/>
      <c r="N470" s="39"/>
      <c r="O470" s="39"/>
    </row>
    <row r="471" spans="4:15" x14ac:dyDescent="0.3">
      <c r="D471" s="40"/>
      <c r="E471" s="40"/>
      <c r="F471" s="39"/>
      <c r="G471" s="39"/>
      <c r="H471" s="39"/>
      <c r="I471" s="39"/>
      <c r="J471" s="39"/>
      <c r="K471" s="39"/>
      <c r="L471" s="39"/>
      <c r="M471" s="39"/>
      <c r="N471" s="39"/>
      <c r="O471" s="39"/>
    </row>
    <row r="472" spans="4:15" x14ac:dyDescent="0.3">
      <c r="D472" s="40"/>
      <c r="E472" s="40"/>
      <c r="F472" s="39"/>
      <c r="G472" s="39"/>
      <c r="H472" s="39"/>
      <c r="I472" s="39"/>
      <c r="J472" s="39"/>
      <c r="K472" s="39"/>
      <c r="L472" s="39"/>
      <c r="M472" s="39"/>
      <c r="N472" s="39"/>
      <c r="O472" s="39"/>
    </row>
    <row r="473" spans="4:15" x14ac:dyDescent="0.3">
      <c r="D473" s="40"/>
      <c r="E473" s="40"/>
      <c r="F473" s="39"/>
      <c r="G473" s="39"/>
      <c r="H473" s="39"/>
      <c r="I473" s="39"/>
      <c r="J473" s="39"/>
      <c r="K473" s="39"/>
      <c r="L473" s="39"/>
      <c r="M473" s="39"/>
      <c r="N473" s="39"/>
      <c r="O473" s="39"/>
    </row>
    <row r="474" spans="4:15" x14ac:dyDescent="0.3">
      <c r="D474" s="40"/>
      <c r="E474" s="40"/>
      <c r="F474" s="39"/>
      <c r="G474" s="39"/>
      <c r="H474" s="39"/>
      <c r="I474" s="39"/>
      <c r="J474" s="39"/>
      <c r="K474" s="39"/>
      <c r="L474" s="39"/>
      <c r="M474" s="39"/>
      <c r="N474" s="39"/>
      <c r="O474" s="39"/>
    </row>
    <row r="475" spans="4:15" x14ac:dyDescent="0.3">
      <c r="D475" s="40"/>
      <c r="E475" s="40"/>
      <c r="F475" s="39"/>
      <c r="G475" s="39"/>
      <c r="H475" s="39"/>
      <c r="I475" s="39"/>
      <c r="J475" s="39"/>
      <c r="K475" s="39"/>
      <c r="L475" s="39"/>
      <c r="M475" s="39"/>
      <c r="N475" s="39"/>
      <c r="O475" s="39"/>
    </row>
    <row r="476" spans="4:15" x14ac:dyDescent="0.3">
      <c r="D476" s="40"/>
      <c r="E476" s="40"/>
      <c r="F476" s="39"/>
      <c r="G476" s="39"/>
      <c r="H476" s="39"/>
      <c r="I476" s="39"/>
      <c r="J476" s="39"/>
      <c r="K476" s="39"/>
      <c r="L476" s="39"/>
      <c r="M476" s="39"/>
      <c r="N476" s="39"/>
      <c r="O476" s="39"/>
    </row>
    <row r="477" spans="4:15" x14ac:dyDescent="0.3">
      <c r="D477" s="40"/>
      <c r="E477" s="40"/>
      <c r="F477" s="39"/>
      <c r="G477" s="39"/>
      <c r="H477" s="39"/>
      <c r="I477" s="39"/>
      <c r="J477" s="39"/>
      <c r="K477" s="39"/>
      <c r="L477" s="39"/>
      <c r="M477" s="39"/>
      <c r="N477" s="39"/>
      <c r="O477" s="39"/>
    </row>
    <row r="478" spans="4:15" x14ac:dyDescent="0.3">
      <c r="D478" s="40"/>
      <c r="E478" s="40"/>
      <c r="F478" s="39"/>
      <c r="G478" s="39"/>
      <c r="H478" s="39"/>
      <c r="I478" s="39"/>
      <c r="J478" s="39"/>
      <c r="K478" s="39"/>
      <c r="L478" s="39"/>
      <c r="M478" s="39"/>
      <c r="N478" s="39"/>
      <c r="O478" s="39"/>
    </row>
    <row r="479" spans="4:15" x14ac:dyDescent="0.3">
      <c r="D479" s="40"/>
      <c r="E479" s="40"/>
      <c r="F479" s="39"/>
      <c r="G479" s="39"/>
      <c r="H479" s="39"/>
      <c r="I479" s="39"/>
      <c r="J479" s="39"/>
      <c r="K479" s="39"/>
      <c r="L479" s="39"/>
      <c r="M479" s="39"/>
      <c r="N479" s="39"/>
      <c r="O479" s="39"/>
    </row>
    <row r="480" spans="4:15" x14ac:dyDescent="0.3">
      <c r="D480" s="40"/>
      <c r="E480" s="40"/>
      <c r="F480" s="39"/>
      <c r="G480" s="39"/>
      <c r="H480" s="39"/>
      <c r="I480" s="39"/>
      <c r="J480" s="39"/>
      <c r="K480" s="39"/>
      <c r="L480" s="39"/>
      <c r="M480" s="39"/>
      <c r="N480" s="39"/>
      <c r="O480" s="39"/>
    </row>
    <row r="481" spans="4:15" x14ac:dyDescent="0.3">
      <c r="D481" s="40"/>
      <c r="E481" s="40"/>
      <c r="F481" s="39"/>
      <c r="G481" s="39"/>
      <c r="H481" s="39"/>
      <c r="I481" s="39"/>
      <c r="J481" s="39"/>
      <c r="K481" s="39"/>
      <c r="L481" s="39"/>
      <c r="M481" s="39"/>
      <c r="N481" s="39"/>
      <c r="O481" s="39"/>
    </row>
    <row r="482" spans="4:15" x14ac:dyDescent="0.3">
      <c r="D482" s="40"/>
      <c r="E482" s="40"/>
      <c r="F482" s="39"/>
      <c r="G482" s="39"/>
      <c r="H482" s="39"/>
      <c r="I482" s="39"/>
      <c r="J482" s="39"/>
      <c r="K482" s="39"/>
      <c r="L482" s="39"/>
      <c r="M482" s="39"/>
      <c r="N482" s="39"/>
      <c r="O482" s="39"/>
    </row>
    <row r="483" spans="4:15" x14ac:dyDescent="0.3">
      <c r="D483" s="40"/>
      <c r="E483" s="40"/>
      <c r="F483" s="39"/>
      <c r="G483" s="39"/>
      <c r="H483" s="39"/>
      <c r="I483" s="39"/>
      <c r="J483" s="39"/>
      <c r="K483" s="39"/>
      <c r="L483" s="39"/>
      <c r="M483" s="39"/>
      <c r="N483" s="39"/>
      <c r="O483" s="39"/>
    </row>
    <row r="484" spans="4:15" x14ac:dyDescent="0.3">
      <c r="D484" s="40"/>
      <c r="E484" s="40"/>
      <c r="F484" s="39"/>
      <c r="G484" s="39"/>
      <c r="H484" s="39"/>
      <c r="I484" s="39"/>
      <c r="J484" s="39"/>
      <c r="K484" s="39"/>
      <c r="L484" s="39"/>
      <c r="M484" s="39"/>
      <c r="N484" s="39"/>
      <c r="O484" s="39"/>
    </row>
    <row r="485" spans="4:15" x14ac:dyDescent="0.3">
      <c r="D485" s="40"/>
      <c r="E485" s="40"/>
      <c r="F485" s="39"/>
      <c r="G485" s="39"/>
      <c r="H485" s="39"/>
      <c r="I485" s="39"/>
      <c r="J485" s="39"/>
      <c r="K485" s="39"/>
      <c r="L485" s="39"/>
      <c r="M485" s="39"/>
      <c r="N485" s="39"/>
      <c r="O485" s="39"/>
    </row>
    <row r="486" spans="4:15" x14ac:dyDescent="0.3">
      <c r="D486" s="40"/>
      <c r="E486" s="40"/>
      <c r="F486" s="39"/>
      <c r="G486" s="39"/>
      <c r="H486" s="39"/>
      <c r="I486" s="39"/>
      <c r="J486" s="39"/>
      <c r="K486" s="39"/>
      <c r="L486" s="39"/>
      <c r="M486" s="39"/>
      <c r="N486" s="39"/>
      <c r="O486" s="39"/>
    </row>
    <row r="487" spans="4:15" x14ac:dyDescent="0.3">
      <c r="D487" s="40"/>
      <c r="E487" s="40"/>
      <c r="F487" s="39"/>
      <c r="G487" s="39"/>
      <c r="H487" s="39"/>
      <c r="I487" s="39"/>
      <c r="J487" s="39"/>
      <c r="K487" s="39"/>
      <c r="L487" s="39"/>
      <c r="M487" s="39"/>
      <c r="N487" s="39"/>
      <c r="O487" s="39"/>
    </row>
    <row r="488" spans="4:15" x14ac:dyDescent="0.3">
      <c r="D488" s="40"/>
      <c r="E488" s="40"/>
      <c r="F488" s="39"/>
      <c r="G488" s="39"/>
      <c r="H488" s="39"/>
      <c r="I488" s="39"/>
      <c r="J488" s="39"/>
      <c r="K488" s="39"/>
      <c r="L488" s="39"/>
      <c r="M488" s="39"/>
      <c r="N488" s="39"/>
      <c r="O488" s="39"/>
    </row>
    <row r="489" spans="4:15" x14ac:dyDescent="0.3">
      <c r="D489" s="40"/>
      <c r="E489" s="40"/>
      <c r="F489" s="39"/>
      <c r="G489" s="39"/>
      <c r="H489" s="39"/>
      <c r="I489" s="39"/>
      <c r="J489" s="39"/>
      <c r="K489" s="39"/>
      <c r="L489" s="39"/>
      <c r="M489" s="39"/>
      <c r="N489" s="39"/>
      <c r="O489" s="39"/>
    </row>
    <row r="490" spans="4:15" x14ac:dyDescent="0.3">
      <c r="D490" s="40"/>
      <c r="E490" s="40"/>
      <c r="F490" s="39"/>
      <c r="G490" s="39"/>
      <c r="H490" s="39"/>
      <c r="I490" s="39"/>
      <c r="J490" s="39"/>
      <c r="K490" s="39"/>
      <c r="L490" s="39"/>
      <c r="M490" s="39"/>
      <c r="N490" s="39"/>
      <c r="O490" s="39"/>
    </row>
    <row r="491" spans="4:15" x14ac:dyDescent="0.3">
      <c r="D491" s="40"/>
      <c r="E491" s="40"/>
      <c r="F491" s="39"/>
      <c r="G491" s="39"/>
      <c r="H491" s="39"/>
      <c r="I491" s="39"/>
      <c r="J491" s="39"/>
      <c r="K491" s="39"/>
      <c r="L491" s="39"/>
      <c r="M491" s="39"/>
      <c r="N491" s="39"/>
      <c r="O491" s="39"/>
    </row>
    <row r="492" spans="4:15" x14ac:dyDescent="0.3">
      <c r="D492" s="40"/>
      <c r="E492" s="40"/>
      <c r="F492" s="39"/>
      <c r="G492" s="39"/>
      <c r="H492" s="39"/>
      <c r="I492" s="39"/>
      <c r="J492" s="39"/>
      <c r="K492" s="39"/>
      <c r="L492" s="39"/>
      <c r="M492" s="39"/>
      <c r="N492" s="39"/>
      <c r="O492" s="39"/>
    </row>
    <row r="493" spans="4:15" x14ac:dyDescent="0.3">
      <c r="D493" s="40"/>
      <c r="E493" s="40"/>
      <c r="F493" s="39"/>
      <c r="G493" s="39"/>
      <c r="H493" s="39"/>
      <c r="I493" s="39"/>
      <c r="J493" s="39"/>
      <c r="K493" s="39"/>
      <c r="L493" s="39"/>
      <c r="M493" s="39"/>
      <c r="N493" s="39"/>
      <c r="O493" s="39"/>
    </row>
    <row r="494" spans="4:15" x14ac:dyDescent="0.3">
      <c r="D494" s="40"/>
      <c r="E494" s="40"/>
      <c r="F494" s="39"/>
      <c r="G494" s="39"/>
      <c r="H494" s="39"/>
      <c r="I494" s="39"/>
      <c r="J494" s="39"/>
      <c r="K494" s="39"/>
      <c r="L494" s="39"/>
      <c r="M494" s="39"/>
      <c r="N494" s="39"/>
      <c r="O494" s="39"/>
    </row>
    <row r="495" spans="4:15" x14ac:dyDescent="0.3">
      <c r="D495" s="40"/>
      <c r="E495" s="40"/>
      <c r="F495" s="39"/>
      <c r="G495" s="39"/>
      <c r="H495" s="39"/>
      <c r="I495" s="39"/>
      <c r="J495" s="39"/>
      <c r="K495" s="39"/>
      <c r="L495" s="39"/>
      <c r="M495" s="39"/>
      <c r="N495" s="39"/>
      <c r="O495" s="39"/>
    </row>
    <row r="496" spans="4:15" x14ac:dyDescent="0.3">
      <c r="D496" s="40"/>
      <c r="E496" s="40"/>
      <c r="F496" s="39"/>
      <c r="G496" s="39"/>
      <c r="H496" s="39"/>
      <c r="I496" s="39"/>
      <c r="J496" s="39"/>
      <c r="K496" s="39"/>
      <c r="L496" s="39"/>
      <c r="M496" s="39"/>
      <c r="N496" s="39"/>
      <c r="O496" s="39"/>
    </row>
    <row r="497" spans="4:15" x14ac:dyDescent="0.3">
      <c r="D497" s="40"/>
      <c r="E497" s="40"/>
      <c r="F497" s="39"/>
      <c r="G497" s="39"/>
      <c r="H497" s="39"/>
      <c r="I497" s="39"/>
      <c r="J497" s="39"/>
      <c r="K497" s="39"/>
      <c r="L497" s="39"/>
      <c r="M497" s="39"/>
      <c r="N497" s="39"/>
      <c r="O497" s="39"/>
    </row>
    <row r="498" spans="4:15" x14ac:dyDescent="0.3">
      <c r="D498" s="40"/>
      <c r="E498" s="40"/>
      <c r="F498" s="39"/>
      <c r="G498" s="39"/>
      <c r="H498" s="39"/>
      <c r="I498" s="39"/>
      <c r="J498" s="39"/>
      <c r="K498" s="39"/>
      <c r="L498" s="39"/>
      <c r="M498" s="39"/>
      <c r="N498" s="39"/>
      <c r="O498" s="39"/>
    </row>
    <row r="499" spans="4:15" x14ac:dyDescent="0.3">
      <c r="D499" s="40"/>
      <c r="E499" s="40"/>
      <c r="F499" s="39"/>
      <c r="G499" s="39"/>
      <c r="H499" s="39"/>
      <c r="I499" s="39"/>
      <c r="J499" s="39"/>
      <c r="K499" s="39"/>
      <c r="L499" s="39"/>
      <c r="M499" s="39"/>
      <c r="N499" s="39"/>
      <c r="O499" s="39"/>
    </row>
    <row r="500" spans="4:15" x14ac:dyDescent="0.3">
      <c r="D500" s="40"/>
      <c r="E500" s="40"/>
      <c r="F500" s="39"/>
      <c r="G500" s="39"/>
      <c r="H500" s="39"/>
      <c r="I500" s="39"/>
      <c r="J500" s="39"/>
      <c r="K500" s="39"/>
      <c r="L500" s="39"/>
      <c r="M500" s="39"/>
      <c r="N500" s="39"/>
      <c r="O500" s="39"/>
    </row>
    <row r="501" spans="4:15" x14ac:dyDescent="0.3">
      <c r="D501" s="40"/>
      <c r="E501" s="40"/>
      <c r="F501" s="39"/>
      <c r="G501" s="39"/>
      <c r="H501" s="39"/>
      <c r="I501" s="39"/>
      <c r="J501" s="39"/>
      <c r="K501" s="39"/>
      <c r="L501" s="39"/>
      <c r="M501" s="39"/>
      <c r="N501" s="39"/>
      <c r="O501" s="39"/>
    </row>
    <row r="502" spans="4:15" x14ac:dyDescent="0.3">
      <c r="D502" s="40"/>
      <c r="E502" s="40"/>
      <c r="F502" s="39"/>
      <c r="G502" s="39"/>
      <c r="H502" s="39"/>
      <c r="I502" s="39"/>
      <c r="J502" s="39"/>
      <c r="K502" s="39"/>
      <c r="L502" s="39"/>
      <c r="M502" s="39"/>
      <c r="N502" s="39"/>
      <c r="O502" s="39"/>
    </row>
    <row r="503" spans="4:15" x14ac:dyDescent="0.3">
      <c r="D503" s="40"/>
      <c r="E503" s="40"/>
      <c r="F503" s="39"/>
      <c r="G503" s="39"/>
      <c r="H503" s="39"/>
      <c r="I503" s="39"/>
      <c r="J503" s="39"/>
      <c r="K503" s="39"/>
      <c r="L503" s="39"/>
      <c r="M503" s="39"/>
      <c r="N503" s="39"/>
      <c r="O503" s="39"/>
    </row>
    <row r="504" spans="4:15" x14ac:dyDescent="0.3">
      <c r="D504" s="40"/>
      <c r="E504" s="40"/>
      <c r="F504" s="39"/>
      <c r="G504" s="39"/>
      <c r="H504" s="39"/>
      <c r="I504" s="39"/>
      <c r="J504" s="39"/>
      <c r="K504" s="39"/>
      <c r="L504" s="39"/>
      <c r="M504" s="39"/>
      <c r="N504" s="39"/>
      <c r="O504" s="39"/>
    </row>
    <row r="505" spans="4:15" x14ac:dyDescent="0.3">
      <c r="D505" s="40"/>
      <c r="E505" s="40"/>
      <c r="F505" s="39"/>
      <c r="G505" s="39"/>
      <c r="H505" s="39"/>
      <c r="I505" s="39"/>
      <c r="J505" s="39"/>
      <c r="K505" s="39"/>
      <c r="L505" s="39"/>
      <c r="M505" s="39"/>
      <c r="N505" s="39"/>
      <c r="O505" s="39"/>
    </row>
    <row r="506" spans="4:15" x14ac:dyDescent="0.3">
      <c r="D506" s="40"/>
      <c r="E506" s="40"/>
      <c r="F506" s="39"/>
      <c r="G506" s="39"/>
      <c r="H506" s="39"/>
      <c r="I506" s="39"/>
      <c r="J506" s="39"/>
      <c r="K506" s="39"/>
      <c r="L506" s="39"/>
      <c r="M506" s="39"/>
      <c r="N506" s="39"/>
      <c r="O506" s="39"/>
    </row>
    <row r="507" spans="4:15" x14ac:dyDescent="0.3">
      <c r="D507" s="40"/>
      <c r="E507" s="40"/>
      <c r="F507" s="39"/>
      <c r="G507" s="39"/>
      <c r="H507" s="39"/>
      <c r="I507" s="39"/>
      <c r="J507" s="39"/>
      <c r="K507" s="39"/>
      <c r="L507" s="39"/>
      <c r="M507" s="39"/>
      <c r="N507" s="39"/>
      <c r="O507" s="39"/>
    </row>
    <row r="508" spans="4:15" x14ac:dyDescent="0.3">
      <c r="D508" s="40"/>
      <c r="E508" s="40"/>
      <c r="F508" s="39"/>
      <c r="G508" s="39"/>
      <c r="H508" s="39"/>
      <c r="I508" s="39"/>
      <c r="J508" s="39"/>
      <c r="K508" s="39"/>
      <c r="L508" s="39"/>
      <c r="M508" s="39"/>
      <c r="N508" s="39"/>
      <c r="O508" s="39"/>
    </row>
    <row r="509" spans="4:15" x14ac:dyDescent="0.3">
      <c r="D509" s="40"/>
      <c r="E509" s="40"/>
      <c r="F509" s="39"/>
      <c r="G509" s="39"/>
      <c r="H509" s="39"/>
      <c r="I509" s="39"/>
      <c r="J509" s="39"/>
      <c r="K509" s="39"/>
      <c r="L509" s="39"/>
      <c r="M509" s="39"/>
      <c r="N509" s="39"/>
      <c r="O509" s="39"/>
    </row>
    <row r="510" spans="4:15" x14ac:dyDescent="0.3">
      <c r="D510" s="40"/>
      <c r="E510" s="40"/>
      <c r="F510" s="39"/>
      <c r="G510" s="39"/>
      <c r="H510" s="39"/>
      <c r="I510" s="39"/>
      <c r="J510" s="39"/>
      <c r="K510" s="39"/>
      <c r="L510" s="39"/>
      <c r="M510" s="39"/>
      <c r="N510" s="39"/>
      <c r="O510" s="39"/>
    </row>
    <row r="511" spans="4:15" x14ac:dyDescent="0.3">
      <c r="D511" s="40"/>
      <c r="E511" s="40"/>
      <c r="F511" s="39"/>
      <c r="G511" s="39"/>
      <c r="H511" s="39"/>
      <c r="I511" s="39"/>
      <c r="J511" s="39"/>
      <c r="K511" s="39"/>
      <c r="L511" s="39"/>
      <c r="M511" s="39"/>
      <c r="N511" s="39"/>
      <c r="O511" s="39"/>
    </row>
    <row r="512" spans="4:15" x14ac:dyDescent="0.3">
      <c r="D512" s="40"/>
      <c r="E512" s="40"/>
      <c r="F512" s="39"/>
      <c r="G512" s="39"/>
      <c r="H512" s="39"/>
      <c r="I512" s="39"/>
      <c r="J512" s="39"/>
      <c r="K512" s="39"/>
      <c r="L512" s="39"/>
      <c r="M512" s="39"/>
      <c r="N512" s="39"/>
      <c r="O512" s="39"/>
    </row>
    <row r="513" spans="4:15" x14ac:dyDescent="0.3">
      <c r="D513" s="40"/>
      <c r="E513" s="40"/>
      <c r="F513" s="39"/>
      <c r="G513" s="39"/>
      <c r="H513" s="39"/>
      <c r="I513" s="39"/>
      <c r="J513" s="39"/>
      <c r="K513" s="39"/>
      <c r="L513" s="39"/>
      <c r="M513" s="39"/>
      <c r="N513" s="39"/>
      <c r="O513" s="39"/>
    </row>
    <row r="514" spans="4:15" x14ac:dyDescent="0.3">
      <c r="D514" s="40"/>
      <c r="E514" s="40"/>
      <c r="F514" s="39"/>
      <c r="G514" s="39"/>
      <c r="H514" s="39"/>
      <c r="I514" s="39"/>
      <c r="J514" s="39"/>
      <c r="K514" s="39"/>
      <c r="L514" s="39"/>
      <c r="M514" s="39"/>
      <c r="N514" s="39"/>
      <c r="O514" s="39"/>
    </row>
    <row r="515" spans="4:15" x14ac:dyDescent="0.3">
      <c r="D515" s="40"/>
      <c r="E515" s="40"/>
      <c r="F515" s="39"/>
      <c r="G515" s="39"/>
      <c r="H515" s="39"/>
      <c r="I515" s="39"/>
      <c r="J515" s="39"/>
      <c r="K515" s="39"/>
      <c r="L515" s="39"/>
      <c r="M515" s="39"/>
      <c r="N515" s="39"/>
      <c r="O515" s="39"/>
    </row>
    <row r="516" spans="4:15" x14ac:dyDescent="0.3">
      <c r="D516" s="40"/>
      <c r="E516" s="40"/>
      <c r="F516" s="39"/>
      <c r="G516" s="39"/>
      <c r="H516" s="39"/>
      <c r="I516" s="39"/>
      <c r="J516" s="39"/>
      <c r="K516" s="39"/>
      <c r="L516" s="39"/>
      <c r="M516" s="39"/>
      <c r="N516" s="39"/>
      <c r="O516" s="39"/>
    </row>
    <row r="517" spans="4:15" x14ac:dyDescent="0.3">
      <c r="D517" s="40"/>
      <c r="E517" s="40"/>
      <c r="F517" s="39"/>
      <c r="G517" s="39"/>
      <c r="H517" s="39"/>
      <c r="I517" s="39"/>
      <c r="J517" s="39"/>
      <c r="K517" s="39"/>
      <c r="L517" s="39"/>
      <c r="M517" s="39"/>
      <c r="N517" s="39"/>
      <c r="O517" s="39"/>
    </row>
    <row r="518" spans="4:15" x14ac:dyDescent="0.3">
      <c r="D518" s="40"/>
      <c r="E518" s="40"/>
      <c r="F518" s="39"/>
      <c r="G518" s="39"/>
      <c r="H518" s="39"/>
      <c r="I518" s="39"/>
      <c r="J518" s="39"/>
      <c r="K518" s="39"/>
      <c r="L518" s="39"/>
      <c r="M518" s="39"/>
      <c r="N518" s="39"/>
      <c r="O518" s="39"/>
    </row>
    <row r="519" spans="4:15" x14ac:dyDescent="0.3">
      <c r="D519" s="40"/>
      <c r="E519" s="40"/>
      <c r="F519" s="39"/>
      <c r="G519" s="39"/>
      <c r="H519" s="39"/>
      <c r="I519" s="39"/>
      <c r="J519" s="39"/>
      <c r="K519" s="39"/>
      <c r="L519" s="39"/>
      <c r="M519" s="39"/>
      <c r="N519" s="39"/>
      <c r="O519" s="39"/>
    </row>
    <row r="520" spans="4:15" x14ac:dyDescent="0.3">
      <c r="D520" s="40"/>
      <c r="E520" s="40"/>
      <c r="F520" s="39"/>
      <c r="G520" s="39"/>
      <c r="H520" s="39"/>
      <c r="I520" s="39"/>
      <c r="J520" s="39"/>
      <c r="K520" s="39"/>
      <c r="L520" s="39"/>
      <c r="M520" s="39"/>
      <c r="N520" s="39"/>
      <c r="O520" s="39"/>
    </row>
    <row r="521" spans="4:15" x14ac:dyDescent="0.3">
      <c r="D521" s="40"/>
      <c r="E521" s="40"/>
      <c r="F521" s="39"/>
      <c r="G521" s="39"/>
      <c r="H521" s="39"/>
      <c r="I521" s="39"/>
      <c r="J521" s="39"/>
      <c r="K521" s="39"/>
      <c r="L521" s="39"/>
      <c r="M521" s="39"/>
      <c r="N521" s="39"/>
      <c r="O521" s="39"/>
    </row>
    <row r="522" spans="4:15" x14ac:dyDescent="0.3">
      <c r="D522" s="40"/>
      <c r="E522" s="40"/>
      <c r="F522" s="39"/>
      <c r="G522" s="39"/>
      <c r="H522" s="39"/>
      <c r="I522" s="39"/>
      <c r="J522" s="39"/>
      <c r="K522" s="39"/>
      <c r="L522" s="39"/>
      <c r="M522" s="39"/>
      <c r="N522" s="39"/>
      <c r="O522" s="39"/>
    </row>
    <row r="523" spans="4:15" x14ac:dyDescent="0.3">
      <c r="D523" s="40"/>
      <c r="E523" s="40"/>
      <c r="F523" s="39"/>
      <c r="G523" s="39"/>
      <c r="H523" s="39"/>
      <c r="I523" s="39"/>
      <c r="J523" s="39"/>
      <c r="K523" s="39"/>
      <c r="L523" s="39"/>
      <c r="M523" s="39"/>
      <c r="N523" s="39"/>
      <c r="O523" s="39"/>
    </row>
    <row r="524" spans="4:15" x14ac:dyDescent="0.3">
      <c r="D524" s="40"/>
      <c r="E524" s="40"/>
      <c r="F524" s="39"/>
      <c r="G524" s="39"/>
      <c r="H524" s="39"/>
      <c r="I524" s="39"/>
      <c r="J524" s="39"/>
      <c r="K524" s="39"/>
      <c r="L524" s="39"/>
      <c r="M524" s="39"/>
      <c r="N524" s="39"/>
      <c r="O524" s="39"/>
    </row>
    <row r="525" spans="4:15" x14ac:dyDescent="0.3">
      <c r="D525" s="40"/>
      <c r="E525" s="40"/>
      <c r="F525" s="39"/>
      <c r="G525" s="39"/>
      <c r="H525" s="39"/>
      <c r="I525" s="39"/>
      <c r="J525" s="39"/>
      <c r="K525" s="39"/>
      <c r="L525" s="39"/>
      <c r="M525" s="39"/>
      <c r="N525" s="39"/>
      <c r="O525" s="39"/>
    </row>
    <row r="526" spans="4:15" x14ac:dyDescent="0.3">
      <c r="D526" s="40"/>
      <c r="E526" s="40"/>
      <c r="F526" s="39"/>
      <c r="G526" s="39"/>
      <c r="H526" s="39"/>
      <c r="I526" s="39"/>
      <c r="J526" s="39"/>
      <c r="K526" s="39"/>
      <c r="L526" s="39"/>
      <c r="M526" s="39"/>
      <c r="N526" s="39"/>
      <c r="O526" s="39"/>
    </row>
    <row r="527" spans="4:15" x14ac:dyDescent="0.3">
      <c r="D527" s="40"/>
      <c r="E527" s="40"/>
      <c r="F527" s="39"/>
      <c r="G527" s="39"/>
      <c r="H527" s="39"/>
      <c r="I527" s="39"/>
      <c r="J527" s="39"/>
      <c r="K527" s="39"/>
      <c r="L527" s="39"/>
      <c r="M527" s="39"/>
      <c r="N527" s="39"/>
      <c r="O527" s="39"/>
    </row>
    <row r="528" spans="4:15" x14ac:dyDescent="0.3">
      <c r="D528" s="40"/>
      <c r="E528" s="40"/>
      <c r="F528" s="39"/>
      <c r="G528" s="39"/>
      <c r="H528" s="39"/>
      <c r="I528" s="39"/>
      <c r="J528" s="39"/>
      <c r="K528" s="39"/>
      <c r="L528" s="39"/>
      <c r="M528" s="39"/>
      <c r="N528" s="39"/>
      <c r="O528" s="39"/>
    </row>
    <row r="529" spans="4:15" x14ac:dyDescent="0.3">
      <c r="D529" s="40"/>
      <c r="E529" s="40"/>
      <c r="F529" s="39"/>
      <c r="G529" s="39"/>
      <c r="H529" s="39"/>
      <c r="I529" s="39"/>
      <c r="J529" s="39"/>
      <c r="K529" s="39"/>
      <c r="L529" s="39"/>
      <c r="M529" s="39"/>
      <c r="N529" s="39"/>
      <c r="O529" s="39"/>
    </row>
    <row r="530" spans="4:15" x14ac:dyDescent="0.3">
      <c r="D530" s="40"/>
      <c r="E530" s="40"/>
      <c r="F530" s="39"/>
      <c r="G530" s="39"/>
      <c r="H530" s="39"/>
      <c r="I530" s="39"/>
      <c r="J530" s="39"/>
      <c r="K530" s="39"/>
      <c r="L530" s="39"/>
      <c r="M530" s="39"/>
      <c r="N530" s="39"/>
      <c r="O530" s="39"/>
    </row>
    <row r="531" spans="4:15" x14ac:dyDescent="0.3">
      <c r="D531" s="40"/>
      <c r="E531" s="40"/>
      <c r="F531" s="39"/>
      <c r="G531" s="39"/>
      <c r="H531" s="39"/>
      <c r="I531" s="39"/>
      <c r="J531" s="39"/>
      <c r="K531" s="39"/>
      <c r="L531" s="39"/>
      <c r="M531" s="39"/>
      <c r="N531" s="39"/>
      <c r="O531" s="39"/>
    </row>
    <row r="532" spans="4:15" x14ac:dyDescent="0.3">
      <c r="D532" s="40"/>
      <c r="E532" s="40"/>
      <c r="F532" s="39"/>
      <c r="G532" s="39"/>
      <c r="H532" s="39"/>
      <c r="I532" s="39"/>
      <c r="J532" s="39"/>
      <c r="K532" s="39"/>
      <c r="L532" s="39"/>
      <c r="M532" s="39"/>
      <c r="N532" s="39"/>
      <c r="O532" s="39"/>
    </row>
    <row r="533" spans="4:15" x14ac:dyDescent="0.3">
      <c r="D533" s="40"/>
      <c r="E533" s="40"/>
      <c r="F533" s="39"/>
      <c r="G533" s="39"/>
      <c r="H533" s="39"/>
      <c r="I533" s="39"/>
      <c r="J533" s="39"/>
      <c r="K533" s="39"/>
      <c r="L533" s="39"/>
      <c r="M533" s="39"/>
      <c r="N533" s="39"/>
      <c r="O533" s="39"/>
    </row>
    <row r="534" spans="4:15" x14ac:dyDescent="0.3">
      <c r="D534" s="40"/>
      <c r="E534" s="40"/>
      <c r="F534" s="39"/>
      <c r="G534" s="39"/>
      <c r="H534" s="39"/>
      <c r="I534" s="39"/>
      <c r="J534" s="39"/>
      <c r="K534" s="39"/>
      <c r="L534" s="39"/>
      <c r="M534" s="39"/>
      <c r="N534" s="39"/>
      <c r="O534" s="39"/>
    </row>
    <row r="535" spans="4:15" x14ac:dyDescent="0.3">
      <c r="D535" s="40"/>
      <c r="E535" s="40"/>
      <c r="F535" s="39"/>
      <c r="G535" s="39"/>
      <c r="H535" s="39"/>
      <c r="I535" s="39"/>
      <c r="J535" s="39"/>
      <c r="K535" s="39"/>
      <c r="L535" s="39"/>
      <c r="M535" s="39"/>
      <c r="N535" s="39"/>
      <c r="O535" s="39"/>
    </row>
    <row r="536" spans="4:15" x14ac:dyDescent="0.3">
      <c r="D536" s="40"/>
      <c r="E536" s="40"/>
      <c r="F536" s="39"/>
      <c r="G536" s="39"/>
      <c r="H536" s="39"/>
      <c r="I536" s="39"/>
      <c r="J536" s="39"/>
      <c r="K536" s="39"/>
      <c r="L536" s="39"/>
      <c r="M536" s="39"/>
      <c r="N536" s="39"/>
      <c r="O536" s="39"/>
    </row>
    <row r="537" spans="4:15" x14ac:dyDescent="0.3">
      <c r="D537" s="40"/>
      <c r="E537" s="40"/>
      <c r="F537" s="39"/>
      <c r="G537" s="39"/>
      <c r="H537" s="39"/>
      <c r="I537" s="39"/>
      <c r="J537" s="39"/>
      <c r="K537" s="39"/>
      <c r="L537" s="39"/>
      <c r="M537" s="39"/>
      <c r="N537" s="39"/>
      <c r="O537" s="39"/>
    </row>
    <row r="538" spans="4:15" x14ac:dyDescent="0.3">
      <c r="D538" s="40"/>
      <c r="E538" s="40"/>
      <c r="F538" s="39"/>
      <c r="G538" s="39"/>
      <c r="H538" s="39"/>
      <c r="I538" s="39"/>
      <c r="J538" s="39"/>
      <c r="K538" s="39"/>
      <c r="L538" s="39"/>
      <c r="M538" s="39"/>
      <c r="N538" s="39"/>
      <c r="O538" s="39"/>
    </row>
    <row r="539" spans="4:15" x14ac:dyDescent="0.3">
      <c r="D539" s="40"/>
      <c r="E539" s="40"/>
      <c r="F539" s="39"/>
      <c r="G539" s="39"/>
      <c r="H539" s="39"/>
      <c r="I539" s="39"/>
      <c r="J539" s="39"/>
      <c r="K539" s="39"/>
      <c r="L539" s="39"/>
      <c r="M539" s="39"/>
      <c r="N539" s="39"/>
      <c r="O539" s="39"/>
    </row>
    <row r="540" spans="4:15" x14ac:dyDescent="0.3">
      <c r="D540" s="40"/>
      <c r="E540" s="40"/>
      <c r="F540" s="39"/>
      <c r="G540" s="39"/>
      <c r="H540" s="39"/>
      <c r="I540" s="39"/>
      <c r="J540" s="39"/>
      <c r="K540" s="39"/>
      <c r="L540" s="39"/>
      <c r="M540" s="39"/>
      <c r="N540" s="39"/>
      <c r="O540" s="39"/>
    </row>
    <row r="541" spans="4:15" x14ac:dyDescent="0.3">
      <c r="D541" s="40"/>
      <c r="E541" s="40"/>
      <c r="F541" s="39"/>
      <c r="G541" s="39"/>
      <c r="H541" s="39"/>
      <c r="I541" s="39"/>
      <c r="J541" s="39"/>
      <c r="K541" s="39"/>
      <c r="L541" s="39"/>
      <c r="M541" s="39"/>
      <c r="N541" s="39"/>
      <c r="O541" s="39"/>
    </row>
    <row r="542" spans="4:15" x14ac:dyDescent="0.3">
      <c r="D542" s="40"/>
      <c r="E542" s="40"/>
      <c r="F542" s="39"/>
      <c r="G542" s="39"/>
      <c r="H542" s="39"/>
      <c r="I542" s="39"/>
      <c r="J542" s="39"/>
      <c r="K542" s="39"/>
      <c r="L542" s="39"/>
      <c r="M542" s="39"/>
      <c r="N542" s="39"/>
      <c r="O542" s="39"/>
    </row>
    <row r="543" spans="4:15" x14ac:dyDescent="0.3">
      <c r="D543" s="40"/>
      <c r="E543" s="40"/>
      <c r="F543" s="39"/>
      <c r="G543" s="39"/>
      <c r="H543" s="39"/>
      <c r="I543" s="39"/>
      <c r="J543" s="39"/>
      <c r="K543" s="39"/>
      <c r="L543" s="39"/>
      <c r="M543" s="39"/>
      <c r="N543" s="39"/>
      <c r="O543" s="39"/>
    </row>
    <row r="544" spans="4:15" x14ac:dyDescent="0.3">
      <c r="D544" s="40"/>
      <c r="E544" s="40"/>
      <c r="F544" s="39"/>
      <c r="G544" s="39"/>
      <c r="H544" s="39"/>
      <c r="I544" s="39"/>
      <c r="J544" s="39"/>
      <c r="K544" s="39"/>
      <c r="L544" s="39"/>
      <c r="M544" s="39"/>
      <c r="N544" s="39"/>
      <c r="O544" s="39"/>
    </row>
    <row r="545" spans="4:15" x14ac:dyDescent="0.3">
      <c r="D545" s="40"/>
      <c r="E545" s="40"/>
      <c r="F545" s="39"/>
      <c r="G545" s="39"/>
      <c r="H545" s="39"/>
      <c r="I545" s="39"/>
      <c r="J545" s="39"/>
      <c r="K545" s="39"/>
      <c r="L545" s="39"/>
      <c r="M545" s="39"/>
      <c r="N545" s="39"/>
      <c r="O545" s="39"/>
    </row>
    <row r="546" spans="4:15" x14ac:dyDescent="0.3">
      <c r="D546" s="40"/>
      <c r="E546" s="40"/>
      <c r="F546" s="39"/>
      <c r="G546" s="39"/>
      <c r="H546" s="39"/>
      <c r="I546" s="39"/>
      <c r="J546" s="39"/>
      <c r="K546" s="39"/>
      <c r="L546" s="39"/>
      <c r="M546" s="39"/>
      <c r="N546" s="39"/>
      <c r="O546" s="39"/>
    </row>
    <row r="547" spans="4:15" x14ac:dyDescent="0.3">
      <c r="D547" s="40"/>
      <c r="E547" s="40"/>
      <c r="F547" s="39"/>
      <c r="G547" s="39"/>
      <c r="H547" s="39"/>
      <c r="I547" s="39"/>
      <c r="J547" s="39"/>
      <c r="K547" s="39"/>
      <c r="L547" s="39"/>
      <c r="M547" s="39"/>
      <c r="N547" s="39"/>
      <c r="O547" s="39"/>
    </row>
    <row r="548" spans="4:15" x14ac:dyDescent="0.3">
      <c r="D548" s="40"/>
      <c r="E548" s="40"/>
      <c r="F548" s="39"/>
      <c r="G548" s="39"/>
      <c r="H548" s="39"/>
      <c r="I548" s="39"/>
      <c r="J548" s="39"/>
      <c r="K548" s="39"/>
      <c r="L548" s="39"/>
      <c r="M548" s="39"/>
      <c r="N548" s="39"/>
      <c r="O548" s="39"/>
    </row>
    <row r="549" spans="4:15" x14ac:dyDescent="0.3">
      <c r="D549" s="40"/>
      <c r="E549" s="40"/>
      <c r="F549" s="39"/>
      <c r="G549" s="39"/>
      <c r="H549" s="39"/>
      <c r="I549" s="39"/>
      <c r="J549" s="39"/>
      <c r="K549" s="39"/>
      <c r="L549" s="39"/>
      <c r="M549" s="39"/>
      <c r="N549" s="39"/>
      <c r="O549" s="39"/>
    </row>
    <row r="550" spans="4:15" x14ac:dyDescent="0.3">
      <c r="D550" s="40"/>
      <c r="E550" s="40"/>
      <c r="F550" s="39"/>
      <c r="G550" s="39"/>
      <c r="H550" s="39"/>
      <c r="I550" s="39"/>
      <c r="J550" s="39"/>
      <c r="K550" s="39"/>
      <c r="L550" s="39"/>
      <c r="M550" s="39"/>
      <c r="N550" s="39"/>
      <c r="O550" s="39"/>
    </row>
    <row r="551" spans="4:15" x14ac:dyDescent="0.3">
      <c r="D551" s="40"/>
      <c r="E551" s="40"/>
      <c r="F551" s="39"/>
      <c r="G551" s="39"/>
      <c r="H551" s="39"/>
      <c r="I551" s="39"/>
      <c r="J551" s="39"/>
      <c r="K551" s="39"/>
      <c r="L551" s="39"/>
      <c r="M551" s="39"/>
      <c r="N551" s="39"/>
      <c r="O551" s="39"/>
    </row>
    <row r="552" spans="4:15" x14ac:dyDescent="0.3">
      <c r="D552" s="40"/>
      <c r="E552" s="40"/>
      <c r="F552" s="39"/>
      <c r="G552" s="39"/>
      <c r="H552" s="39"/>
      <c r="I552" s="39"/>
      <c r="J552" s="39"/>
      <c r="K552" s="39"/>
      <c r="L552" s="39"/>
      <c r="M552" s="39"/>
      <c r="N552" s="39"/>
      <c r="O552" s="39"/>
    </row>
    <row r="553" spans="4:15" x14ac:dyDescent="0.3">
      <c r="D553" s="40"/>
      <c r="E553" s="40"/>
      <c r="F553" s="39"/>
      <c r="G553" s="39"/>
      <c r="H553" s="39"/>
      <c r="I553" s="39"/>
      <c r="J553" s="39"/>
      <c r="K553" s="39"/>
      <c r="L553" s="39"/>
      <c r="M553" s="39"/>
      <c r="N553" s="39"/>
      <c r="O553" s="39"/>
    </row>
    <row r="554" spans="4:15" x14ac:dyDescent="0.3">
      <c r="D554" s="40"/>
      <c r="E554" s="40"/>
      <c r="F554" s="39"/>
      <c r="G554" s="39"/>
      <c r="H554" s="39"/>
      <c r="I554" s="39"/>
      <c r="J554" s="39"/>
      <c r="K554" s="39"/>
      <c r="L554" s="39"/>
      <c r="M554" s="39"/>
      <c r="N554" s="39"/>
      <c r="O554" s="39"/>
    </row>
    <row r="555" spans="4:15" x14ac:dyDescent="0.3">
      <c r="D555" s="40"/>
      <c r="E555" s="40"/>
      <c r="F555" s="39"/>
      <c r="G555" s="39"/>
      <c r="H555" s="39"/>
      <c r="I555" s="39"/>
      <c r="J555" s="39"/>
      <c r="K555" s="39"/>
      <c r="L555" s="39"/>
      <c r="M555" s="39"/>
      <c r="N555" s="39"/>
      <c r="O555" s="39"/>
    </row>
    <row r="556" spans="4:15" x14ac:dyDescent="0.3">
      <c r="D556" s="40"/>
      <c r="E556" s="40"/>
      <c r="F556" s="39"/>
      <c r="G556" s="39"/>
      <c r="H556" s="39"/>
      <c r="I556" s="39"/>
      <c r="J556" s="39"/>
      <c r="K556" s="39"/>
      <c r="L556" s="39"/>
      <c r="M556" s="39"/>
      <c r="N556" s="39"/>
      <c r="O556" s="39"/>
    </row>
    <row r="557" spans="4:15" x14ac:dyDescent="0.3">
      <c r="D557" s="40"/>
      <c r="E557" s="40"/>
      <c r="F557" s="39"/>
      <c r="G557" s="39"/>
      <c r="H557" s="39"/>
      <c r="I557" s="39"/>
      <c r="J557" s="39"/>
      <c r="K557" s="39"/>
      <c r="L557" s="39"/>
      <c r="M557" s="39"/>
      <c r="N557" s="39"/>
      <c r="O557" s="39"/>
    </row>
    <row r="558" spans="4:15" x14ac:dyDescent="0.3">
      <c r="D558" s="40"/>
      <c r="E558" s="40"/>
      <c r="F558" s="39"/>
      <c r="G558" s="39"/>
      <c r="H558" s="39"/>
      <c r="I558" s="39"/>
      <c r="J558" s="39"/>
      <c r="K558" s="39"/>
      <c r="L558" s="39"/>
      <c r="M558" s="39"/>
      <c r="N558" s="39"/>
      <c r="O558" s="39"/>
    </row>
    <row r="559" spans="4:15" x14ac:dyDescent="0.3">
      <c r="D559" s="40"/>
      <c r="E559" s="40"/>
      <c r="F559" s="39"/>
      <c r="G559" s="39"/>
      <c r="H559" s="39"/>
      <c r="I559" s="39"/>
      <c r="J559" s="39"/>
      <c r="K559" s="39"/>
      <c r="L559" s="39"/>
      <c r="M559" s="39"/>
      <c r="N559" s="39"/>
      <c r="O559" s="39"/>
    </row>
    <row r="560" spans="4:15" x14ac:dyDescent="0.3">
      <c r="D560" s="40"/>
      <c r="E560" s="40"/>
      <c r="F560" s="39"/>
      <c r="G560" s="39"/>
      <c r="H560" s="39"/>
      <c r="I560" s="39"/>
      <c r="J560" s="39"/>
      <c r="K560" s="39"/>
      <c r="L560" s="39"/>
      <c r="M560" s="39"/>
      <c r="N560" s="39"/>
      <c r="O560" s="39"/>
    </row>
    <row r="561" spans="4:15" x14ac:dyDescent="0.3">
      <c r="D561" s="40"/>
      <c r="E561" s="40"/>
      <c r="F561" s="39"/>
      <c r="G561" s="39"/>
      <c r="H561" s="39"/>
      <c r="I561" s="39"/>
      <c r="J561" s="39"/>
      <c r="K561" s="39"/>
      <c r="L561" s="39"/>
      <c r="M561" s="39"/>
      <c r="N561" s="39"/>
      <c r="O561" s="39"/>
    </row>
    <row r="562" spans="4:15" x14ac:dyDescent="0.3">
      <c r="D562" s="40"/>
      <c r="E562" s="40"/>
      <c r="F562" s="39"/>
      <c r="G562" s="39"/>
      <c r="H562" s="39"/>
      <c r="I562" s="39"/>
      <c r="J562" s="39"/>
      <c r="K562" s="39"/>
      <c r="L562" s="39"/>
      <c r="M562" s="39"/>
      <c r="N562" s="39"/>
      <c r="O562" s="39"/>
    </row>
    <row r="563" spans="4:15" x14ac:dyDescent="0.3">
      <c r="D563" s="40"/>
      <c r="E563" s="40"/>
      <c r="F563" s="39"/>
      <c r="G563" s="39"/>
      <c r="H563" s="39"/>
      <c r="I563" s="39"/>
      <c r="J563" s="39"/>
      <c r="K563" s="39"/>
      <c r="L563" s="39"/>
      <c r="M563" s="39"/>
      <c r="N563" s="39"/>
      <c r="O563" s="39"/>
    </row>
    <row r="564" spans="4:15" x14ac:dyDescent="0.3">
      <c r="D564" s="40"/>
      <c r="E564" s="40"/>
      <c r="F564" s="39"/>
      <c r="G564" s="39"/>
      <c r="H564" s="39"/>
      <c r="I564" s="39"/>
      <c r="J564" s="39"/>
      <c r="K564" s="39"/>
      <c r="L564" s="39"/>
      <c r="M564" s="39"/>
      <c r="N564" s="39"/>
      <c r="O564" s="39"/>
    </row>
    <row r="565" spans="4:15" x14ac:dyDescent="0.3">
      <c r="D565" s="40"/>
      <c r="E565" s="40"/>
      <c r="F565" s="39"/>
      <c r="G565" s="39"/>
      <c r="H565" s="39"/>
      <c r="I565" s="39"/>
      <c r="J565" s="39"/>
      <c r="K565" s="39"/>
      <c r="L565" s="39"/>
      <c r="M565" s="39"/>
      <c r="N565" s="39"/>
      <c r="O565" s="39"/>
    </row>
    <row r="566" spans="4:15" x14ac:dyDescent="0.3">
      <c r="D566" s="40"/>
      <c r="E566" s="40"/>
      <c r="F566" s="39"/>
      <c r="G566" s="39"/>
      <c r="H566" s="39"/>
      <c r="I566" s="39"/>
      <c r="J566" s="39"/>
      <c r="K566" s="39"/>
      <c r="L566" s="39"/>
      <c r="M566" s="39"/>
      <c r="N566" s="39"/>
      <c r="O566" s="39"/>
    </row>
    <row r="567" spans="4:15" x14ac:dyDescent="0.3">
      <c r="D567" s="40"/>
      <c r="E567" s="40"/>
      <c r="F567" s="39"/>
      <c r="G567" s="39"/>
      <c r="H567" s="39"/>
      <c r="I567" s="39"/>
      <c r="J567" s="39"/>
      <c r="K567" s="39"/>
      <c r="L567" s="39"/>
      <c r="M567" s="39"/>
      <c r="N567" s="39"/>
      <c r="O567" s="39"/>
    </row>
    <row r="568" spans="4:15" x14ac:dyDescent="0.3">
      <c r="D568" s="40"/>
      <c r="E568" s="40"/>
      <c r="F568" s="39"/>
      <c r="G568" s="39"/>
      <c r="H568" s="39"/>
      <c r="I568" s="39"/>
      <c r="J568" s="39"/>
      <c r="K568" s="39"/>
      <c r="L568" s="39"/>
      <c r="M568" s="39"/>
      <c r="N568" s="39"/>
      <c r="O568" s="39"/>
    </row>
    <row r="569" spans="4:15" x14ac:dyDescent="0.3">
      <c r="D569" s="40"/>
      <c r="E569" s="40"/>
      <c r="F569" s="39"/>
      <c r="G569" s="39"/>
      <c r="H569" s="39"/>
      <c r="I569" s="39"/>
      <c r="J569" s="39"/>
      <c r="K569" s="39"/>
      <c r="L569" s="39"/>
      <c r="M569" s="39"/>
      <c r="N569" s="39"/>
      <c r="O569" s="39"/>
    </row>
    <row r="570" spans="4:15" x14ac:dyDescent="0.3">
      <c r="D570" s="40"/>
      <c r="E570" s="40"/>
      <c r="F570" s="39"/>
      <c r="G570" s="39"/>
      <c r="H570" s="39"/>
      <c r="I570" s="39"/>
      <c r="J570" s="39"/>
      <c r="K570" s="39"/>
      <c r="L570" s="39"/>
      <c r="M570" s="39"/>
      <c r="N570" s="39"/>
      <c r="O570" s="39"/>
    </row>
    <row r="571" spans="4:15" x14ac:dyDescent="0.3">
      <c r="D571" s="40"/>
      <c r="E571" s="40"/>
      <c r="F571" s="39"/>
      <c r="G571" s="39"/>
      <c r="H571" s="39"/>
      <c r="I571" s="39"/>
      <c r="J571" s="39"/>
      <c r="K571" s="39"/>
      <c r="L571" s="39"/>
      <c r="M571" s="39"/>
      <c r="N571" s="39"/>
      <c r="O571" s="39"/>
    </row>
    <row r="572" spans="4:15" x14ac:dyDescent="0.3">
      <c r="D572" s="40"/>
      <c r="E572" s="40"/>
      <c r="F572" s="39"/>
      <c r="G572" s="39"/>
      <c r="H572" s="39"/>
      <c r="I572" s="39"/>
      <c r="J572" s="39"/>
      <c r="K572" s="39"/>
      <c r="L572" s="39"/>
      <c r="M572" s="39"/>
      <c r="N572" s="39"/>
      <c r="O572" s="39"/>
    </row>
    <row r="573" spans="4:15" x14ac:dyDescent="0.3">
      <c r="D573" s="40"/>
      <c r="E573" s="40"/>
      <c r="F573" s="39"/>
      <c r="G573" s="39"/>
      <c r="H573" s="39"/>
      <c r="I573" s="39"/>
      <c r="J573" s="39"/>
      <c r="K573" s="39"/>
      <c r="L573" s="39"/>
      <c r="M573" s="39"/>
      <c r="N573" s="39"/>
      <c r="O573" s="39"/>
    </row>
    <row r="574" spans="4:15" x14ac:dyDescent="0.3">
      <c r="D574" s="40"/>
      <c r="E574" s="40"/>
      <c r="F574" s="39"/>
      <c r="G574" s="39"/>
      <c r="H574" s="39"/>
      <c r="I574" s="39"/>
      <c r="J574" s="39"/>
      <c r="K574" s="39"/>
      <c r="L574" s="39"/>
      <c r="M574" s="39"/>
      <c r="N574" s="39"/>
      <c r="O574" s="39"/>
    </row>
    <row r="575" spans="4:15" x14ac:dyDescent="0.3">
      <c r="D575" s="40"/>
      <c r="E575" s="40"/>
      <c r="F575" s="39"/>
      <c r="G575" s="39"/>
      <c r="H575" s="39"/>
      <c r="I575" s="39"/>
      <c r="J575" s="39"/>
      <c r="K575" s="39"/>
      <c r="L575" s="39"/>
      <c r="M575" s="39"/>
      <c r="N575" s="39"/>
      <c r="O575" s="39"/>
    </row>
    <row r="576" spans="4:15" x14ac:dyDescent="0.3">
      <c r="D576" s="40"/>
      <c r="E576" s="40"/>
      <c r="F576" s="39"/>
      <c r="G576" s="39"/>
      <c r="H576" s="39"/>
      <c r="I576" s="39"/>
      <c r="J576" s="39"/>
      <c r="K576" s="39"/>
      <c r="L576" s="39"/>
      <c r="M576" s="39"/>
      <c r="N576" s="39"/>
      <c r="O576" s="39"/>
    </row>
    <row r="577" spans="4:15" x14ac:dyDescent="0.3">
      <c r="D577" s="40"/>
      <c r="E577" s="40"/>
      <c r="F577" s="39"/>
      <c r="G577" s="39"/>
      <c r="H577" s="39"/>
      <c r="I577" s="39"/>
      <c r="J577" s="39"/>
      <c r="K577" s="39"/>
      <c r="L577" s="39"/>
      <c r="M577" s="39"/>
      <c r="N577" s="39"/>
      <c r="O577" s="39"/>
    </row>
    <row r="578" spans="4:15" x14ac:dyDescent="0.3">
      <c r="D578" s="40"/>
      <c r="E578" s="40"/>
      <c r="F578" s="39"/>
      <c r="G578" s="39"/>
      <c r="H578" s="39"/>
      <c r="I578" s="39"/>
      <c r="J578" s="39"/>
      <c r="K578" s="39"/>
      <c r="L578" s="39"/>
      <c r="M578" s="39"/>
      <c r="N578" s="39"/>
      <c r="O578" s="39"/>
    </row>
    <row r="579" spans="4:15" x14ac:dyDescent="0.3">
      <c r="D579" s="40"/>
      <c r="E579" s="40"/>
      <c r="F579" s="39"/>
      <c r="G579" s="39"/>
      <c r="H579" s="39"/>
      <c r="I579" s="39"/>
      <c r="J579" s="39"/>
      <c r="K579" s="39"/>
      <c r="L579" s="39"/>
      <c r="M579" s="39"/>
      <c r="N579" s="39"/>
      <c r="O579" s="39"/>
    </row>
    <row r="580" spans="4:15" x14ac:dyDescent="0.3">
      <c r="D580" s="40"/>
      <c r="E580" s="40"/>
      <c r="F580" s="39"/>
      <c r="G580" s="39"/>
      <c r="H580" s="39"/>
      <c r="I580" s="39"/>
      <c r="J580" s="39"/>
      <c r="K580" s="39"/>
      <c r="L580" s="39"/>
      <c r="M580" s="39"/>
      <c r="N580" s="39"/>
      <c r="O580" s="39"/>
    </row>
    <row r="581" spans="4:15" x14ac:dyDescent="0.3">
      <c r="D581" s="40"/>
      <c r="E581" s="40"/>
      <c r="F581" s="39"/>
      <c r="G581" s="39"/>
      <c r="H581" s="39"/>
      <c r="I581" s="39"/>
      <c r="J581" s="39"/>
      <c r="K581" s="39"/>
      <c r="L581" s="39"/>
      <c r="M581" s="39"/>
      <c r="N581" s="39"/>
      <c r="O581" s="39"/>
    </row>
    <row r="582" spans="4:15" x14ac:dyDescent="0.3">
      <c r="D582" s="40"/>
      <c r="E582" s="40"/>
      <c r="F582" s="39"/>
      <c r="G582" s="39"/>
      <c r="H582" s="39"/>
      <c r="I582" s="39"/>
      <c r="J582" s="39"/>
      <c r="K582" s="39"/>
      <c r="L582" s="39"/>
      <c r="M582" s="39"/>
      <c r="N582" s="39"/>
      <c r="O582" s="39"/>
    </row>
    <row r="583" spans="4:15" x14ac:dyDescent="0.3">
      <c r="D583" s="40"/>
      <c r="E583" s="40"/>
      <c r="F583" s="39"/>
      <c r="G583" s="39"/>
      <c r="H583" s="39"/>
      <c r="I583" s="39"/>
      <c r="J583" s="39"/>
      <c r="K583" s="39"/>
      <c r="L583" s="39"/>
      <c r="M583" s="39"/>
      <c r="N583" s="39"/>
      <c r="O583" s="39"/>
    </row>
    <row r="584" spans="4:15" x14ac:dyDescent="0.3">
      <c r="D584" s="40"/>
      <c r="E584" s="40"/>
      <c r="F584" s="39"/>
      <c r="G584" s="39"/>
      <c r="H584" s="39"/>
      <c r="I584" s="39"/>
      <c r="J584" s="39"/>
      <c r="K584" s="39"/>
      <c r="L584" s="39"/>
      <c r="M584" s="39"/>
      <c r="N584" s="39"/>
      <c r="O584" s="39"/>
    </row>
    <row r="585" spans="4:15" x14ac:dyDescent="0.3">
      <c r="D585" s="40"/>
      <c r="E585" s="40"/>
      <c r="F585" s="39"/>
      <c r="G585" s="39"/>
      <c r="H585" s="39"/>
      <c r="I585" s="39"/>
      <c r="J585" s="39"/>
      <c r="K585" s="39"/>
      <c r="L585" s="39"/>
      <c r="M585" s="39"/>
      <c r="N585" s="39"/>
      <c r="O585" s="39"/>
    </row>
    <row r="586" spans="4:15" x14ac:dyDescent="0.3">
      <c r="D586" s="40"/>
      <c r="E586" s="40"/>
      <c r="F586" s="39"/>
      <c r="G586" s="39"/>
      <c r="H586" s="39"/>
      <c r="I586" s="39"/>
      <c r="J586" s="39"/>
      <c r="K586" s="39"/>
      <c r="L586" s="39"/>
      <c r="M586" s="39"/>
      <c r="N586" s="39"/>
      <c r="O586" s="39"/>
    </row>
    <row r="587" spans="4:15" x14ac:dyDescent="0.3">
      <c r="D587" s="40"/>
      <c r="E587" s="40"/>
      <c r="F587" s="39"/>
      <c r="G587" s="39"/>
      <c r="H587" s="39"/>
      <c r="I587" s="39"/>
      <c r="J587" s="39"/>
      <c r="K587" s="39"/>
      <c r="L587" s="39"/>
      <c r="M587" s="39"/>
      <c r="N587" s="39"/>
      <c r="O587" s="39"/>
    </row>
    <row r="588" spans="4:15" x14ac:dyDescent="0.3">
      <c r="D588" s="40"/>
      <c r="E588" s="40"/>
      <c r="F588" s="39"/>
      <c r="G588" s="39"/>
      <c r="H588" s="39"/>
      <c r="I588" s="39"/>
      <c r="J588" s="39"/>
      <c r="K588" s="39"/>
      <c r="L588" s="39"/>
      <c r="M588" s="39"/>
      <c r="N588" s="39"/>
      <c r="O588" s="39"/>
    </row>
    <row r="589" spans="4:15" x14ac:dyDescent="0.3">
      <c r="D589" s="40"/>
      <c r="E589" s="40"/>
      <c r="F589" s="39"/>
      <c r="G589" s="39"/>
      <c r="H589" s="39"/>
      <c r="I589" s="39"/>
      <c r="J589" s="39"/>
      <c r="K589" s="39"/>
      <c r="L589" s="39"/>
      <c r="M589" s="39"/>
      <c r="N589" s="39"/>
      <c r="O589" s="39"/>
    </row>
    <row r="590" spans="4:15" x14ac:dyDescent="0.3">
      <c r="D590" s="40"/>
      <c r="E590" s="40"/>
      <c r="F590" s="39"/>
      <c r="G590" s="39"/>
      <c r="H590" s="39"/>
      <c r="I590" s="39"/>
      <c r="J590" s="39"/>
      <c r="K590" s="39"/>
      <c r="L590" s="39"/>
      <c r="M590" s="39"/>
      <c r="N590" s="39"/>
      <c r="O590" s="39"/>
    </row>
    <row r="591" spans="4:15" x14ac:dyDescent="0.3">
      <c r="D591" s="40"/>
      <c r="E591" s="40"/>
      <c r="F591" s="39"/>
      <c r="G591" s="39"/>
      <c r="H591" s="39"/>
      <c r="I591" s="39"/>
      <c r="J591" s="39"/>
      <c r="K591" s="39"/>
      <c r="L591" s="39"/>
      <c r="M591" s="39"/>
      <c r="N591" s="39"/>
      <c r="O591" s="39"/>
    </row>
    <row r="592" spans="4:15" x14ac:dyDescent="0.3">
      <c r="D592" s="40"/>
      <c r="E592" s="40"/>
      <c r="F592" s="39"/>
      <c r="G592" s="39"/>
      <c r="H592" s="39"/>
      <c r="I592" s="39"/>
      <c r="J592" s="39"/>
      <c r="K592" s="39"/>
      <c r="L592" s="39"/>
      <c r="M592" s="39"/>
      <c r="N592" s="39"/>
      <c r="O592" s="39"/>
    </row>
    <row r="593" spans="4:15" x14ac:dyDescent="0.3">
      <c r="D593" s="40"/>
      <c r="E593" s="40"/>
      <c r="F593" s="39"/>
      <c r="G593" s="39"/>
      <c r="H593" s="39"/>
      <c r="I593" s="39"/>
      <c r="J593" s="39"/>
      <c r="K593" s="39"/>
      <c r="L593" s="39"/>
      <c r="M593" s="39"/>
      <c r="N593" s="39"/>
      <c r="O593" s="39"/>
    </row>
    <row r="594" spans="4:15" x14ac:dyDescent="0.3">
      <c r="D594" s="40"/>
      <c r="E594" s="40"/>
      <c r="F594" s="39"/>
      <c r="G594" s="39"/>
      <c r="H594" s="39"/>
      <c r="I594" s="39"/>
      <c r="J594" s="39"/>
      <c r="K594" s="39"/>
      <c r="L594" s="39"/>
      <c r="M594" s="39"/>
      <c r="N594" s="39"/>
      <c r="O594" s="39"/>
    </row>
    <row r="595" spans="4:15" x14ac:dyDescent="0.3">
      <c r="D595" s="40"/>
      <c r="E595" s="40"/>
      <c r="F595" s="39"/>
      <c r="G595" s="39"/>
      <c r="H595" s="39"/>
      <c r="I595" s="39"/>
      <c r="J595" s="39"/>
      <c r="K595" s="39"/>
      <c r="L595" s="39"/>
      <c r="M595" s="39"/>
      <c r="N595" s="39"/>
      <c r="O595" s="39"/>
    </row>
    <row r="596" spans="4:15" x14ac:dyDescent="0.3">
      <c r="D596" s="40"/>
      <c r="E596" s="40"/>
      <c r="F596" s="39"/>
      <c r="G596" s="39"/>
      <c r="H596" s="39"/>
      <c r="I596" s="39"/>
      <c r="J596" s="39"/>
      <c r="K596" s="39"/>
      <c r="L596" s="39"/>
      <c r="M596" s="39"/>
      <c r="N596" s="39"/>
      <c r="O596" s="39"/>
    </row>
    <row r="597" spans="4:15" x14ac:dyDescent="0.3">
      <c r="D597" s="40"/>
      <c r="E597" s="40"/>
      <c r="F597" s="39"/>
      <c r="G597" s="39"/>
      <c r="H597" s="39"/>
      <c r="I597" s="39"/>
      <c r="J597" s="39"/>
      <c r="K597" s="39"/>
      <c r="L597" s="39"/>
      <c r="M597" s="39"/>
      <c r="N597" s="39"/>
      <c r="O597" s="39"/>
    </row>
    <row r="598" spans="4:15" x14ac:dyDescent="0.3">
      <c r="D598" s="40"/>
      <c r="E598" s="40"/>
      <c r="F598" s="39"/>
      <c r="G598" s="39"/>
      <c r="H598" s="39"/>
      <c r="I598" s="39"/>
      <c r="J598" s="39"/>
      <c r="K598" s="39"/>
      <c r="L598" s="39"/>
      <c r="M598" s="39"/>
      <c r="N598" s="39"/>
      <c r="O598" s="39"/>
    </row>
    <row r="599" spans="4:15" x14ac:dyDescent="0.3">
      <c r="D599" s="40"/>
      <c r="E599" s="40"/>
      <c r="F599" s="39"/>
      <c r="G599" s="39"/>
      <c r="H599" s="39"/>
      <c r="I599" s="39"/>
      <c r="J599" s="39"/>
      <c r="K599" s="39"/>
      <c r="L599" s="39"/>
      <c r="M599" s="39"/>
      <c r="N599" s="39"/>
      <c r="O599" s="39"/>
    </row>
    <row r="600" spans="4:15" x14ac:dyDescent="0.3">
      <c r="D600" s="40"/>
      <c r="E600" s="40"/>
      <c r="F600" s="39"/>
      <c r="G600" s="39"/>
      <c r="H600" s="39"/>
      <c r="I600" s="39"/>
      <c r="J600" s="39"/>
      <c r="K600" s="39"/>
      <c r="L600" s="39"/>
      <c r="M600" s="39"/>
      <c r="N600" s="39"/>
      <c r="O600" s="39"/>
    </row>
    <row r="601" spans="4:15" x14ac:dyDescent="0.3">
      <c r="D601" s="40"/>
      <c r="E601" s="40"/>
      <c r="F601" s="39"/>
      <c r="G601" s="39"/>
      <c r="H601" s="39"/>
      <c r="I601" s="39"/>
      <c r="J601" s="39"/>
      <c r="K601" s="39"/>
      <c r="L601" s="39"/>
      <c r="M601" s="39"/>
      <c r="N601" s="39"/>
      <c r="O601" s="39"/>
    </row>
    <row r="602" spans="4:15" x14ac:dyDescent="0.3">
      <c r="D602" s="40"/>
      <c r="E602" s="40"/>
      <c r="F602" s="39"/>
      <c r="G602" s="39"/>
      <c r="H602" s="39"/>
      <c r="I602" s="39"/>
      <c r="J602" s="39"/>
      <c r="K602" s="39"/>
      <c r="L602" s="39"/>
      <c r="M602" s="39"/>
      <c r="N602" s="39"/>
      <c r="O602" s="39"/>
    </row>
    <row r="603" spans="4:15" x14ac:dyDescent="0.3">
      <c r="D603" s="40"/>
      <c r="E603" s="40"/>
      <c r="F603" s="39"/>
      <c r="G603" s="39"/>
      <c r="H603" s="39"/>
      <c r="I603" s="39"/>
      <c r="J603" s="39"/>
      <c r="K603" s="39"/>
      <c r="L603" s="39"/>
      <c r="M603" s="39"/>
      <c r="N603" s="39"/>
      <c r="O603" s="39"/>
    </row>
    <row r="604" spans="4:15" x14ac:dyDescent="0.3">
      <c r="D604" s="40"/>
      <c r="E604" s="40"/>
      <c r="F604" s="39"/>
      <c r="G604" s="39"/>
      <c r="H604" s="39"/>
      <c r="I604" s="39"/>
      <c r="J604" s="39"/>
      <c r="K604" s="39"/>
      <c r="L604" s="39"/>
      <c r="M604" s="39"/>
      <c r="N604" s="39"/>
      <c r="O604" s="39"/>
    </row>
    <row r="605" spans="4:15" x14ac:dyDescent="0.3">
      <c r="D605" s="40"/>
      <c r="E605" s="40"/>
      <c r="F605" s="39"/>
      <c r="G605" s="39"/>
      <c r="H605" s="39"/>
      <c r="I605" s="39"/>
      <c r="J605" s="39"/>
      <c r="K605" s="39"/>
      <c r="L605" s="39"/>
      <c r="M605" s="39"/>
      <c r="N605" s="39"/>
      <c r="O605" s="39"/>
    </row>
    <row r="606" spans="4:15" x14ac:dyDescent="0.3">
      <c r="D606" s="40"/>
      <c r="E606" s="40"/>
      <c r="F606" s="39"/>
      <c r="G606" s="39"/>
      <c r="H606" s="39"/>
      <c r="I606" s="39"/>
      <c r="J606" s="39"/>
      <c r="K606" s="39"/>
      <c r="L606" s="39"/>
      <c r="M606" s="39"/>
      <c r="N606" s="39"/>
      <c r="O606" s="39"/>
    </row>
    <row r="607" spans="4:15" x14ac:dyDescent="0.3">
      <c r="D607" s="40"/>
      <c r="E607" s="40"/>
      <c r="F607" s="39"/>
      <c r="G607" s="39"/>
      <c r="H607" s="39"/>
      <c r="I607" s="39"/>
      <c r="J607" s="39"/>
      <c r="K607" s="39"/>
      <c r="L607" s="39"/>
      <c r="M607" s="39"/>
      <c r="N607" s="39"/>
      <c r="O607" s="39"/>
    </row>
    <row r="608" spans="4:15" x14ac:dyDescent="0.3">
      <c r="D608" s="40"/>
      <c r="E608" s="40"/>
      <c r="F608" s="39"/>
      <c r="G608" s="39"/>
      <c r="H608" s="39"/>
      <c r="I608" s="39"/>
      <c r="J608" s="39"/>
      <c r="K608" s="39"/>
      <c r="L608" s="39"/>
      <c r="M608" s="39"/>
      <c r="N608" s="39"/>
      <c r="O608" s="39"/>
    </row>
    <row r="609" spans="4:15" x14ac:dyDescent="0.3">
      <c r="D609" s="40"/>
      <c r="E609" s="40"/>
      <c r="F609" s="39"/>
      <c r="G609" s="39"/>
      <c r="H609" s="39"/>
      <c r="I609" s="39"/>
      <c r="J609" s="39"/>
      <c r="K609" s="39"/>
      <c r="L609" s="39"/>
      <c r="M609" s="39"/>
      <c r="N609" s="39"/>
      <c r="O609" s="39"/>
    </row>
    <row r="610" spans="4:15" x14ac:dyDescent="0.3">
      <c r="D610" s="40"/>
      <c r="E610" s="40"/>
      <c r="F610" s="39"/>
      <c r="G610" s="39"/>
      <c r="H610" s="39"/>
      <c r="I610" s="39"/>
      <c r="J610" s="39"/>
      <c r="K610" s="39"/>
      <c r="L610" s="39"/>
      <c r="M610" s="39"/>
      <c r="N610" s="39"/>
      <c r="O610" s="39"/>
    </row>
    <row r="611" spans="4:15" x14ac:dyDescent="0.3">
      <c r="D611" s="40"/>
      <c r="E611" s="40"/>
      <c r="F611" s="39"/>
      <c r="G611" s="39"/>
      <c r="H611" s="39"/>
      <c r="I611" s="39"/>
      <c r="J611" s="39"/>
      <c r="K611" s="39"/>
      <c r="L611" s="39"/>
      <c r="M611" s="39"/>
      <c r="N611" s="39"/>
      <c r="O611" s="39"/>
    </row>
    <row r="612" spans="4:15" x14ac:dyDescent="0.3">
      <c r="D612" s="40"/>
      <c r="E612" s="40"/>
      <c r="F612" s="39"/>
      <c r="G612" s="39"/>
      <c r="H612" s="39"/>
      <c r="I612" s="39"/>
      <c r="J612" s="39"/>
      <c r="K612" s="39"/>
      <c r="L612" s="39"/>
      <c r="M612" s="39"/>
      <c r="N612" s="39"/>
      <c r="O612" s="39"/>
    </row>
    <row r="613" spans="4:15" x14ac:dyDescent="0.3">
      <c r="D613" s="40"/>
      <c r="E613" s="40"/>
      <c r="F613" s="39"/>
      <c r="G613" s="39"/>
      <c r="H613" s="39"/>
      <c r="I613" s="39"/>
      <c r="J613" s="39"/>
      <c r="K613" s="39"/>
      <c r="L613" s="39"/>
      <c r="M613" s="39"/>
      <c r="N613" s="39"/>
      <c r="O613" s="39"/>
    </row>
    <row r="614" spans="4:15" x14ac:dyDescent="0.3">
      <c r="D614" s="40"/>
      <c r="E614" s="40"/>
      <c r="F614" s="39"/>
      <c r="G614" s="39"/>
      <c r="H614" s="39"/>
      <c r="I614" s="39"/>
      <c r="J614" s="39"/>
      <c r="K614" s="39"/>
      <c r="L614" s="39"/>
      <c r="M614" s="39"/>
      <c r="N614" s="39"/>
      <c r="O614" s="39"/>
    </row>
    <row r="615" spans="4:15" x14ac:dyDescent="0.3">
      <c r="D615" s="40"/>
      <c r="E615" s="40"/>
      <c r="F615" s="39"/>
      <c r="G615" s="39"/>
      <c r="H615" s="39"/>
      <c r="I615" s="39"/>
      <c r="J615" s="39"/>
      <c r="K615" s="39"/>
      <c r="L615" s="39"/>
      <c r="M615" s="39"/>
      <c r="N615" s="39"/>
      <c r="O615" s="39"/>
    </row>
    <row r="616" spans="4:15" x14ac:dyDescent="0.3">
      <c r="D616" s="40"/>
      <c r="E616" s="40"/>
      <c r="F616" s="39"/>
      <c r="G616" s="39"/>
      <c r="H616" s="39"/>
      <c r="I616" s="39"/>
      <c r="J616" s="39"/>
      <c r="K616" s="39"/>
      <c r="L616" s="39"/>
      <c r="M616" s="39"/>
      <c r="N616" s="39"/>
      <c r="O616" s="39"/>
    </row>
    <row r="617" spans="4:15" x14ac:dyDescent="0.3">
      <c r="D617" s="40"/>
      <c r="E617" s="40"/>
      <c r="F617" s="39"/>
      <c r="G617" s="39"/>
      <c r="H617" s="39"/>
      <c r="I617" s="39"/>
      <c r="J617" s="39"/>
      <c r="K617" s="39"/>
      <c r="L617" s="39"/>
      <c r="M617" s="39"/>
      <c r="N617" s="39"/>
      <c r="O617" s="39"/>
    </row>
    <row r="618" spans="4:15" x14ac:dyDescent="0.3">
      <c r="D618" s="40"/>
      <c r="E618" s="40"/>
      <c r="F618" s="39"/>
      <c r="G618" s="39"/>
      <c r="H618" s="39"/>
      <c r="I618" s="39"/>
      <c r="J618" s="39"/>
      <c r="K618" s="39"/>
      <c r="L618" s="39"/>
      <c r="M618" s="39"/>
      <c r="N618" s="39"/>
      <c r="O618" s="39"/>
    </row>
    <row r="619" spans="4:15" x14ac:dyDescent="0.3">
      <c r="D619" s="40"/>
      <c r="E619" s="40"/>
      <c r="F619" s="39"/>
      <c r="G619" s="39"/>
      <c r="H619" s="39"/>
      <c r="I619" s="39"/>
      <c r="J619" s="39"/>
      <c r="K619" s="39"/>
      <c r="L619" s="39"/>
      <c r="M619" s="39"/>
      <c r="N619" s="39"/>
      <c r="O619" s="39"/>
    </row>
    <row r="620" spans="4:15" x14ac:dyDescent="0.3">
      <c r="D620" s="40"/>
      <c r="E620" s="40"/>
      <c r="F620" s="39"/>
      <c r="G620" s="39"/>
      <c r="H620" s="39"/>
      <c r="I620" s="39"/>
      <c r="J620" s="39"/>
      <c r="K620" s="39"/>
      <c r="L620" s="39"/>
      <c r="M620" s="39"/>
      <c r="N620" s="39"/>
      <c r="O620" s="39"/>
    </row>
    <row r="621" spans="4:15" x14ac:dyDescent="0.3">
      <c r="D621" s="40"/>
      <c r="E621" s="40"/>
      <c r="F621" s="39"/>
      <c r="G621" s="39"/>
      <c r="H621" s="39"/>
      <c r="I621" s="39"/>
      <c r="J621" s="39"/>
      <c r="K621" s="39"/>
      <c r="L621" s="39"/>
      <c r="M621" s="39"/>
      <c r="N621" s="39"/>
      <c r="O621" s="39"/>
    </row>
    <row r="622" spans="4:15" x14ac:dyDescent="0.3">
      <c r="D622" s="40"/>
      <c r="E622" s="40"/>
      <c r="F622" s="39"/>
      <c r="G622" s="39"/>
      <c r="H622" s="39"/>
      <c r="I622" s="39"/>
      <c r="J622" s="39"/>
      <c r="K622" s="39"/>
      <c r="L622" s="39"/>
      <c r="M622" s="39"/>
      <c r="N622" s="39"/>
      <c r="O622" s="39"/>
    </row>
    <row r="623" spans="4:15" x14ac:dyDescent="0.3">
      <c r="D623" s="40"/>
      <c r="E623" s="40"/>
      <c r="F623" s="39"/>
      <c r="G623" s="39"/>
      <c r="H623" s="39"/>
      <c r="I623" s="39"/>
      <c r="J623" s="39"/>
      <c r="K623" s="39"/>
      <c r="L623" s="39"/>
      <c r="M623" s="39"/>
      <c r="N623" s="39"/>
      <c r="O623" s="39"/>
    </row>
    <row r="624" spans="4:15" x14ac:dyDescent="0.3">
      <c r="D624" s="40"/>
      <c r="E624" s="40"/>
      <c r="F624" s="39"/>
      <c r="G624" s="39"/>
      <c r="H624" s="39"/>
      <c r="I624" s="39"/>
      <c r="J624" s="39"/>
      <c r="K624" s="39"/>
      <c r="L624" s="39"/>
      <c r="M624" s="39"/>
      <c r="N624" s="39"/>
      <c r="O624" s="39"/>
    </row>
    <row r="625" spans="4:15" x14ac:dyDescent="0.3">
      <c r="D625" s="40"/>
      <c r="E625" s="40"/>
      <c r="F625" s="39"/>
      <c r="G625" s="39"/>
      <c r="H625" s="39"/>
      <c r="I625" s="39"/>
      <c r="J625" s="39"/>
      <c r="K625" s="39"/>
      <c r="L625" s="39"/>
      <c r="M625" s="39"/>
      <c r="N625" s="39"/>
      <c r="O625" s="39"/>
    </row>
  </sheetData>
  <autoFilter ref="A1:U122">
    <filterColumn colId="7" showButton="0"/>
    <filterColumn colId="9" showButton="0"/>
    <filterColumn colId="11" showButton="0"/>
    <filterColumn colId="13" showButton="0"/>
  </autoFilter>
  <mergeCells count="4">
    <mergeCell ref="H1:I1"/>
    <mergeCell ref="J1:K1"/>
    <mergeCell ref="L1:M1"/>
    <mergeCell ref="N1:O1"/>
  </mergeCells>
  <conditionalFormatting sqref="P2">
    <cfRule type="cellIs" dxfId="826" priority="2" operator="lessThan">
      <formula>$S$1</formula>
    </cfRule>
  </conditionalFormatting>
  <conditionalFormatting sqref="P3:P122">
    <cfRule type="cellIs" dxfId="825" priority="1" operator="lessThan">
      <formula>$S$1</formula>
    </cfRule>
  </conditionalFormatting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31.5546875" style="11" bestFit="1" customWidth="1"/>
    <col min="8" max="8" width="21.5546875" style="11" bestFit="1" customWidth="1"/>
    <col min="9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9" x14ac:dyDescent="0.3">
      <c r="A1" s="10"/>
    </row>
    <row r="2" spans="1:29" ht="18" thickBot="1" x14ac:dyDescent="0.35"/>
    <row r="3" spans="1:29" ht="18" thickBot="1" x14ac:dyDescent="0.35">
      <c r="A3" s="33" t="s">
        <v>63</v>
      </c>
      <c r="B3" s="423">
        <v>1</v>
      </c>
      <c r="C3" s="423"/>
      <c r="D3" s="424"/>
    </row>
    <row r="4" spans="1:29" ht="18.75" customHeight="1" thickBot="1" x14ac:dyDescent="0.35">
      <c r="G4" s="111" t="str">
        <f>"025"</f>
        <v>025</v>
      </c>
      <c r="H4" s="111" t="str">
        <f>"025"</f>
        <v>025</v>
      </c>
      <c r="I4" s="381">
        <v>50</v>
      </c>
      <c r="J4" s="382"/>
      <c r="K4" s="382"/>
      <c r="L4" s="382"/>
      <c r="M4" s="382"/>
      <c r="N4" s="399"/>
      <c r="O4" s="383">
        <v>75</v>
      </c>
      <c r="P4" s="383"/>
      <c r="Q4" s="383"/>
      <c r="R4" s="383"/>
      <c r="S4" s="383"/>
      <c r="T4" s="400"/>
      <c r="U4" s="384">
        <v>90</v>
      </c>
      <c r="V4" s="385"/>
      <c r="W4" s="385"/>
      <c r="X4" s="385"/>
      <c r="Y4" s="385"/>
      <c r="Z4" s="401"/>
      <c r="AA4" s="391" t="s">
        <v>53</v>
      </c>
      <c r="AB4" s="392"/>
      <c r="AC4" s="393"/>
    </row>
    <row r="5" spans="1:29" ht="18" thickBot="1" x14ac:dyDescent="0.35">
      <c r="A5" s="13" t="s">
        <v>52</v>
      </c>
      <c r="B5" s="14">
        <v>1</v>
      </c>
      <c r="C5" s="15">
        <v>4</v>
      </c>
      <c r="D5" s="15">
        <v>8</v>
      </c>
      <c r="E5" s="104"/>
      <c r="F5" s="106" t="s">
        <v>9</v>
      </c>
      <c r="G5" s="13" t="s">
        <v>200</v>
      </c>
      <c r="H5" s="13" t="s">
        <v>198</v>
      </c>
      <c r="I5" s="402" t="s">
        <v>14</v>
      </c>
      <c r="J5" s="403"/>
      <c r="K5" s="404"/>
      <c r="L5" s="381" t="s">
        <v>55</v>
      </c>
      <c r="M5" s="382"/>
      <c r="N5" s="399"/>
      <c r="O5" s="405" t="s">
        <v>14</v>
      </c>
      <c r="P5" s="383"/>
      <c r="Q5" s="400"/>
      <c r="R5" s="405" t="s">
        <v>55</v>
      </c>
      <c r="S5" s="383"/>
      <c r="T5" s="400"/>
      <c r="U5" s="384" t="s">
        <v>14</v>
      </c>
      <c r="V5" s="385"/>
      <c r="W5" s="401"/>
      <c r="X5" s="388" t="s">
        <v>55</v>
      </c>
      <c r="Y5" s="389"/>
      <c r="Z5" s="390"/>
      <c r="AA5" s="425"/>
      <c r="AB5" s="426"/>
      <c r="AC5" s="427"/>
    </row>
    <row r="6" spans="1:29" ht="18" thickBot="1" x14ac:dyDescent="0.35">
      <c r="A6" s="16">
        <v>6</v>
      </c>
      <c r="B6" s="17">
        <f>(((SQRT(B5)*$B$3)/SQRT(3))*$C$15)/$A6</f>
        <v>115.47005383792516</v>
      </c>
      <c r="C6" s="17">
        <f>(((SQRT(C5)*$B$3)/SQRT(3))*$C$15)/$A6</f>
        <v>230.94010767585033</v>
      </c>
      <c r="D6" s="17">
        <f>(((SQRT(D5)*$B$3)/SQRT(3))*$C$15)/$A6</f>
        <v>326.59863237109045</v>
      </c>
      <c r="E6" s="105"/>
      <c r="F6" s="106" t="str">
        <f>_1753b</f>
        <v>Lechler</v>
      </c>
      <c r="G6" s="106" t="str">
        <f>_1753t</f>
        <v>ID (3) 120 025</v>
      </c>
      <c r="H6" s="106" t="str">
        <f>_1753c</f>
        <v>IS 80 025</v>
      </c>
      <c r="I6" s="132">
        <f>_1753h</f>
        <v>2</v>
      </c>
      <c r="J6" s="42" t="str">
        <f>IF(I6="","","bis")</f>
        <v>bis</v>
      </c>
      <c r="K6" s="19">
        <f>_1753i</f>
        <v>7</v>
      </c>
      <c r="L6" s="20">
        <f>(((SQRT($I6)*$B$3)/SQRT(3))*60000)/($B$12*$B$15)</f>
        <v>5.2961940384501158</v>
      </c>
      <c r="M6" s="42" t="str">
        <f>IF(L6="","","bis")</f>
        <v>bis</v>
      </c>
      <c r="N6" s="18">
        <f>(((SQRT($K6)*$B$3)/SQRT(3))*60000)/($B$12*$B$15)</f>
        <v>9.9082717728774927</v>
      </c>
      <c r="O6" s="19">
        <f>_1753j</f>
        <v>2</v>
      </c>
      <c r="P6" s="42" t="str">
        <f>IF(O6="","","bis")</f>
        <v>bis</v>
      </c>
      <c r="Q6" s="18">
        <f>_1753k</f>
        <v>4</v>
      </c>
      <c r="R6" s="20">
        <f>(((SQRT($O6)*$B$3)/SQRT(3))*60000)/($B$12*$B$15)</f>
        <v>5.2961940384501158</v>
      </c>
      <c r="S6" s="42" t="str">
        <f>IF(R6="","","bis")</f>
        <v>bis</v>
      </c>
      <c r="T6" s="18">
        <f>(((SQRT($Q6)*$B$3)/SQRT(3))*60000)/($B$12*$B$15)</f>
        <v>7.489949438135687</v>
      </c>
      <c r="U6" s="20">
        <f>_1753l</f>
        <v>2</v>
      </c>
      <c r="V6" s="42" t="str">
        <f>IF(U6="","","bis")</f>
        <v>bis</v>
      </c>
      <c r="W6" s="19">
        <f>_1753m</f>
        <v>2.5</v>
      </c>
      <c r="X6" s="20">
        <f>(((SQRT($U6)*$B$3)/SQRT(3))*60000)/($B$12*$B$15)</f>
        <v>5.2961940384501158</v>
      </c>
      <c r="Y6" s="42" t="str">
        <f>IF(X6="","","bis")</f>
        <v>bis</v>
      </c>
      <c r="Z6" s="19">
        <f>(((SQRT($W6)*$B$3)/SQRT(3))*60000)/($B$12*$B$15)</f>
        <v>5.9213249460017963</v>
      </c>
      <c r="AA6" s="133">
        <f>_1753f</f>
        <v>1</v>
      </c>
      <c r="AB6" s="42" t="str">
        <f>IF(AA6="","","bis")</f>
        <v>bis</v>
      </c>
      <c r="AC6" s="134">
        <f>_1753g</f>
        <v>8</v>
      </c>
    </row>
    <row r="7" spans="1:29" ht="18" thickBot="1" x14ac:dyDescent="0.35">
      <c r="A7" s="21">
        <v>7</v>
      </c>
      <c r="B7" s="17">
        <f>(((SQRT(B5)*$B$3)/SQRT(3))*$C$15)/$A7</f>
        <v>98.97433186107871</v>
      </c>
      <c r="C7" s="17">
        <f>(((SQRT(C5)*$B$3)/SQRT(3))*$C$15)/$A7</f>
        <v>197.94866372215742</v>
      </c>
      <c r="D7" s="17">
        <f>(((SQRT(D5)*$B$3)/SQRT(3))*$C$15)/$A7</f>
        <v>279.94168488950612</v>
      </c>
      <c r="E7" s="105"/>
      <c r="F7" s="106" t="str">
        <f>_b1753b</f>
        <v>Lechler</v>
      </c>
      <c r="G7" s="106" t="str">
        <f>_b1753t</f>
        <v>IDTA 120 025 C</v>
      </c>
      <c r="H7" s="106" t="str">
        <f>_b1753c</f>
        <v>IS 80 025</v>
      </c>
      <c r="I7" s="132">
        <f>_b1753h</f>
        <v>0</v>
      </c>
      <c r="J7" s="42" t="str">
        <f>IF(I7="","","bis")</f>
        <v>bis</v>
      </c>
      <c r="K7" s="19">
        <f>_b1753i</f>
        <v>0</v>
      </c>
      <c r="L7" s="20">
        <f>(((SQRT($I7)*$B$3)/SQRT(3))*60000)/($B$12*$B$15)</f>
        <v>0</v>
      </c>
      <c r="M7" s="42" t="str">
        <f>IF(L7="","","bis")</f>
        <v>bis</v>
      </c>
      <c r="N7" s="18">
        <f>(((SQRT($K7)*$B$3)/SQRT(3))*60000)/($B$12*$B$15)</f>
        <v>0</v>
      </c>
      <c r="O7" s="19">
        <f>_b1753j</f>
        <v>0</v>
      </c>
      <c r="P7" s="42" t="str">
        <f>IF(O7="","","bis")</f>
        <v>bis</v>
      </c>
      <c r="Q7" s="18">
        <f>_b1753k</f>
        <v>0</v>
      </c>
      <c r="R7" s="20">
        <f>(((SQRT($O7)*$B$3)/SQRT(3))*60000)/($B$12*$B$15)</f>
        <v>0</v>
      </c>
      <c r="S7" s="42" t="str">
        <f>IF(R7="","","bis")</f>
        <v>bis</v>
      </c>
      <c r="T7" s="18">
        <f>(((SQRT($Q7)*$B$3)/SQRT(3))*60000)/($B$12*$B$15)</f>
        <v>0</v>
      </c>
      <c r="U7" s="20">
        <f>_b1753l</f>
        <v>1.5</v>
      </c>
      <c r="V7" s="42" t="str">
        <f>IF(U7="","","bis")</f>
        <v>bis</v>
      </c>
      <c r="W7" s="19">
        <f>_b1753m</f>
        <v>2</v>
      </c>
      <c r="X7" s="20">
        <f>(((SQRT($U7)*$B$3)/SQRT(3))*60000)/($B$12*$B$15)</f>
        <v>4.5866385806694971</v>
      </c>
      <c r="Y7" s="42" t="str">
        <f>IF(X7="","","bis")</f>
        <v>bis</v>
      </c>
      <c r="Z7" s="18">
        <f>(((SQRT($W7)*$B$3)/SQRT(3))*60000)/($B$12*$B$15)</f>
        <v>5.2961940384501158</v>
      </c>
      <c r="AA7" s="133">
        <f>_b1753f</f>
        <v>1</v>
      </c>
      <c r="AB7" s="42" t="str">
        <f>IF(AA7="","","bis")</f>
        <v>bis</v>
      </c>
      <c r="AC7" s="134">
        <f>_b1753g</f>
        <v>8</v>
      </c>
    </row>
    <row r="8" spans="1:29" ht="18" thickBot="1" x14ac:dyDescent="0.35">
      <c r="A8" s="21">
        <v>8</v>
      </c>
      <c r="B8" s="17">
        <f>(((SQRT(B5)*$B$3)/SQRT(3))*$C$15)/$A8</f>
        <v>86.602540378443877</v>
      </c>
      <c r="C8" s="17">
        <f>(((SQRT(C5)*$B$3)/SQRT(3))*1200)/$A8</f>
        <v>173.20508075688775</v>
      </c>
      <c r="D8" s="17">
        <f>(((SQRT(D5)*$B$3)/SQRT(3))*1200)/$A8</f>
        <v>244.94897427831785</v>
      </c>
      <c r="E8" s="105"/>
      <c r="F8" s="106"/>
      <c r="G8" s="106"/>
      <c r="H8" s="106"/>
      <c r="I8" s="132"/>
      <c r="J8" s="42" t="str">
        <f>IF(I8="","","bis")</f>
        <v/>
      </c>
      <c r="K8" s="18"/>
      <c r="L8" s="20">
        <f>(((SQRT($I8)*$B$3)/SQRT(3))*60000)/($B$12*$B$15)</f>
        <v>0</v>
      </c>
      <c r="M8" s="42" t="str">
        <f>IF(L8="","","bis")</f>
        <v>bis</v>
      </c>
      <c r="N8" s="18">
        <f>(((SQRT($K8)*$B$3)/SQRT(3))*60000)/($B$12*$B$15)</f>
        <v>0</v>
      </c>
      <c r="O8" s="20"/>
      <c r="P8" s="42" t="str">
        <f>IF(O8="","","bis")</f>
        <v/>
      </c>
      <c r="Q8" s="18"/>
      <c r="R8" s="20">
        <f>(((SQRT($O8)*$B$3)/SQRT(3))*60000)/($B$12*$B$15)</f>
        <v>0</v>
      </c>
      <c r="S8" s="42" t="str">
        <f>IF(R8="","","bis")</f>
        <v>bis</v>
      </c>
      <c r="T8" s="18">
        <f>(((SQRT($Q8)*$B$3)/SQRT(3))*60000)/($B$12*$B$15)</f>
        <v>0</v>
      </c>
      <c r="U8" s="20"/>
      <c r="V8" s="42" t="str">
        <f>IF(U8="","","bis")</f>
        <v/>
      </c>
      <c r="W8" s="18"/>
      <c r="X8" s="20">
        <f>(((SQRT($U8)*$B$3)/SQRT(3))*60000)/($B$12*$B$15)</f>
        <v>0</v>
      </c>
      <c r="Y8" s="42" t="str">
        <f>IF(X8="","","bis")</f>
        <v>bis</v>
      </c>
      <c r="Z8" s="18">
        <f>(((SQRT($W8)*$B$3)/SQRT(3))*60000)/($B$12*$B$15)</f>
        <v>0</v>
      </c>
      <c r="AA8" s="133"/>
      <c r="AB8" s="42" t="str">
        <f>IF(AA8="","","bis")</f>
        <v/>
      </c>
      <c r="AC8" s="134"/>
    </row>
    <row r="9" spans="1:29" ht="18" thickBot="1" x14ac:dyDescent="0.35">
      <c r="A9" s="21">
        <v>9</v>
      </c>
      <c r="B9" s="17">
        <f>(((SQRT(B5)*$B$3)/SQRT(3))*$C$15)/$A9</f>
        <v>76.980035891950109</v>
      </c>
      <c r="C9" s="17">
        <f>(((SQRT(C5)*$B$3)/SQRT(3))*$C$15)/$A9</f>
        <v>153.96007178390022</v>
      </c>
      <c r="D9" s="17">
        <f>(((SQRT(D5)*$B$3)/SQRT(3))*$C$15)/$A9</f>
        <v>217.73242158072696</v>
      </c>
      <c r="E9" s="105"/>
      <c r="F9" s="106"/>
      <c r="G9" s="106"/>
      <c r="H9" s="106"/>
      <c r="I9" s="132"/>
      <c r="J9" s="42" t="str">
        <f>IF(I9="","","bis")</f>
        <v/>
      </c>
      <c r="K9" s="18"/>
      <c r="L9" s="20">
        <f>(((SQRT($I9)*$B$3)/SQRT(3))*60000)/($B$12*$B$15)</f>
        <v>0</v>
      </c>
      <c r="M9" s="42" t="str">
        <f>IF(L9="","","bis")</f>
        <v>bis</v>
      </c>
      <c r="N9" s="18">
        <f>(((SQRT($K9)*$B$3)/SQRT(3))*60000)/($B$12*$B$15)</f>
        <v>0</v>
      </c>
      <c r="O9" s="20"/>
      <c r="P9" s="42" t="str">
        <f>IF(O9="","","bis")</f>
        <v/>
      </c>
      <c r="Q9" s="18"/>
      <c r="R9" s="20">
        <f>(((SQRT($O9)*$B$3)/SQRT(3))*60000)/($B$12*$B$15)</f>
        <v>0</v>
      </c>
      <c r="S9" s="42" t="str">
        <f>IF(R9="","","bis")</f>
        <v>bis</v>
      </c>
      <c r="T9" s="18">
        <f>(((SQRT($Q9)*$B$3)/SQRT(3))*60000)/($B$12*$B$15)</f>
        <v>0</v>
      </c>
      <c r="U9" s="20"/>
      <c r="V9" s="42" t="str">
        <f>IF(U9="","","bis")</f>
        <v/>
      </c>
      <c r="W9" s="19"/>
      <c r="X9" s="20">
        <f>(((SQRT($U9)*$B$3)/SQRT(3))*60000)/($B$12*$B$15)</f>
        <v>0</v>
      </c>
      <c r="Y9" s="42" t="str">
        <f>IF(X9="","","bis")</f>
        <v>bis</v>
      </c>
      <c r="Z9" s="18">
        <f>(((SQRT($W9)*$B$3)/SQRT(3))*60000)/($B$12*$B$15)</f>
        <v>0</v>
      </c>
      <c r="AA9" s="133"/>
      <c r="AB9" s="42" t="str">
        <f>IF(AA9="","","bis")</f>
        <v/>
      </c>
      <c r="AC9" s="134"/>
    </row>
    <row r="10" spans="1:29" ht="18" thickBot="1" x14ac:dyDescent="0.35">
      <c r="A10" s="22">
        <v>10</v>
      </c>
      <c r="B10" s="27">
        <f>(((SQRT(B5)*$B$3)/SQRT(3))*$C$15)/$A10</f>
        <v>69.282032302755098</v>
      </c>
      <c r="C10" s="27">
        <f>(((SQRT(C5)*$B$3)/SQRT(3))*$C$15)/$A10</f>
        <v>138.5640646055102</v>
      </c>
      <c r="D10" s="27">
        <f>(((SQRT(D5)*$B$3)/SQRT(3))*$C$15)/$A10</f>
        <v>195.95917942265427</v>
      </c>
      <c r="E10" s="105"/>
      <c r="F10" s="106"/>
      <c r="G10" s="106"/>
      <c r="H10" s="106"/>
      <c r="I10" s="132"/>
      <c r="J10" s="42" t="str">
        <f>IF(I10="","","bis")</f>
        <v/>
      </c>
      <c r="K10" s="18"/>
      <c r="L10" s="20">
        <f>(((SQRT($I10)*$B$3)/SQRT(3))*60000)/($B$12*$B$15)</f>
        <v>0</v>
      </c>
      <c r="M10" s="42" t="str">
        <f>IF(L10="","","bis")</f>
        <v>bis</v>
      </c>
      <c r="N10" s="18">
        <f>(((SQRT($K10)*$B$3)/SQRT(3))*60000)/($B$12*$B$15)</f>
        <v>0</v>
      </c>
      <c r="O10" s="20"/>
      <c r="P10" s="42" t="str">
        <f>IF(O10="","","bis")</f>
        <v/>
      </c>
      <c r="Q10" s="18"/>
      <c r="R10" s="20">
        <f>(((SQRT($O10)*$B$3)/SQRT(3))*60000)/($B$12*$B$15)</f>
        <v>0</v>
      </c>
      <c r="S10" s="42" t="str">
        <f>IF(R10="","","bis")</f>
        <v>bis</v>
      </c>
      <c r="T10" s="18">
        <f>(((SQRT($Q10)*$B$3)/SQRT(3))*60000)/($B$12*$B$15)</f>
        <v>0</v>
      </c>
      <c r="U10" s="20"/>
      <c r="V10" s="42" t="str">
        <f>IF(U10="","","bis")</f>
        <v/>
      </c>
      <c r="W10" s="18"/>
      <c r="X10" s="20">
        <f>(((SQRT($U10)*$B$3)/SQRT(3))*60000)/($B$12*$B$15)</f>
        <v>0</v>
      </c>
      <c r="Y10" s="42" t="str">
        <f>IF(X10="","","bis")</f>
        <v>bis</v>
      </c>
      <c r="Z10" s="18">
        <f>(((SQRT($W10)*$B$3)/SQRT(3))*60000)/($B$12*$B$15)</f>
        <v>0</v>
      </c>
      <c r="AA10" s="133"/>
      <c r="AB10" s="42" t="str">
        <f>IF(AA10="","","bis")</f>
        <v/>
      </c>
      <c r="AC10" s="134"/>
    </row>
    <row r="11" spans="1:29" ht="18" thickBot="1" x14ac:dyDescent="0.35">
      <c r="J11" s="2"/>
    </row>
    <row r="12" spans="1:29" ht="18" thickBot="1" x14ac:dyDescent="0.35">
      <c r="A12" s="23" t="s">
        <v>56</v>
      </c>
      <c r="B12" s="8">
        <v>185</v>
      </c>
      <c r="C12" s="24"/>
      <c r="D12" s="167">
        <f>Tabelle1!A2</f>
        <v>200</v>
      </c>
    </row>
    <row r="13" spans="1:29" ht="18" thickBot="1" x14ac:dyDescent="0.35">
      <c r="A13" s="23" t="s">
        <v>57</v>
      </c>
      <c r="B13" s="25">
        <f>POWER(((SQRT(3)*$C$13)/$B$3),2)</f>
        <v>2.566875</v>
      </c>
      <c r="C13" s="26">
        <f>(B12*B14*B15)/60000</f>
        <v>0.92500000000000004</v>
      </c>
      <c r="D13" s="25">
        <f>POWER(((SQRT(3)*$E$13)/$B$3),2)</f>
        <v>24.083333333333332</v>
      </c>
      <c r="E13" s="26">
        <f>(D12*D14*D15)/60000</f>
        <v>2.8333333333333335</v>
      </c>
      <c r="T13" s="11"/>
    </row>
    <row r="14" spans="1:29" ht="18" thickBot="1" x14ac:dyDescent="0.35">
      <c r="A14" s="23" t="s">
        <v>58</v>
      </c>
      <c r="B14" s="9">
        <v>6</v>
      </c>
      <c r="D14" s="168">
        <f>Tabelle1!A4</f>
        <v>17</v>
      </c>
    </row>
    <row r="15" spans="1:29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  <row r="17" spans="6:29" ht="18" thickBot="1" x14ac:dyDescent="0.35"/>
    <row r="18" spans="6:29" ht="18" thickBot="1" x14ac:dyDescent="0.35">
      <c r="G18" s="111" t="s">
        <v>167</v>
      </c>
      <c r="H18" s="112" t="str">
        <f>"02"</f>
        <v>02</v>
      </c>
      <c r="I18" s="381">
        <v>50</v>
      </c>
      <c r="J18" s="382"/>
      <c r="K18" s="382"/>
      <c r="L18" s="382"/>
      <c r="M18" s="382"/>
      <c r="N18" s="399"/>
      <c r="O18" s="383">
        <v>75</v>
      </c>
      <c r="P18" s="383"/>
      <c r="Q18" s="383"/>
      <c r="R18" s="383"/>
      <c r="S18" s="383"/>
      <c r="T18" s="400"/>
      <c r="U18" s="384">
        <v>90</v>
      </c>
      <c r="V18" s="385"/>
      <c r="W18" s="385"/>
      <c r="X18" s="385"/>
      <c r="Y18" s="385"/>
      <c r="Z18" s="401"/>
      <c r="AA18" s="391" t="s">
        <v>53</v>
      </c>
      <c r="AB18" s="392"/>
      <c r="AC18" s="393"/>
    </row>
    <row r="19" spans="6:29" ht="18" thickBot="1" x14ac:dyDescent="0.35">
      <c r="F19" s="13" t="s">
        <v>9</v>
      </c>
      <c r="G19" s="13" t="s">
        <v>200</v>
      </c>
      <c r="H19" s="13" t="s">
        <v>198</v>
      </c>
      <c r="I19" s="402" t="s">
        <v>14</v>
      </c>
      <c r="J19" s="403"/>
      <c r="K19" s="404"/>
      <c r="L19" s="381" t="s">
        <v>55</v>
      </c>
      <c r="M19" s="382"/>
      <c r="N19" s="399"/>
      <c r="O19" s="405" t="s">
        <v>14</v>
      </c>
      <c r="P19" s="383"/>
      <c r="Q19" s="400"/>
      <c r="R19" s="405" t="s">
        <v>55</v>
      </c>
      <c r="S19" s="383"/>
      <c r="T19" s="400"/>
      <c r="U19" s="384" t="s">
        <v>14</v>
      </c>
      <c r="V19" s="385"/>
      <c r="W19" s="401"/>
      <c r="X19" s="388" t="s">
        <v>55</v>
      </c>
      <c r="Y19" s="389"/>
      <c r="Z19" s="390"/>
      <c r="AA19" s="394"/>
      <c r="AB19" s="395"/>
      <c r="AC19" s="396"/>
    </row>
    <row r="20" spans="6:29" ht="18" thickBot="1" x14ac:dyDescent="0.35">
      <c r="F20" s="106" t="str">
        <f>_1996b</f>
        <v>Agrotop</v>
      </c>
      <c r="G20" s="106" t="str">
        <f>_1996t</f>
        <v>TurboDrop HiSpeed 025</v>
      </c>
      <c r="H20" s="106" t="str">
        <f>_1996c</f>
        <v>Airmix OC 80 02</v>
      </c>
      <c r="I20" s="132">
        <f>_1996h</f>
        <v>2.5</v>
      </c>
      <c r="J20" s="42" t="str">
        <f>IF(I20="","","bis")</f>
        <v>bis</v>
      </c>
      <c r="K20" s="19">
        <f>_1996i</f>
        <v>6</v>
      </c>
      <c r="L20" s="20">
        <v>0</v>
      </c>
      <c r="M20" s="42" t="s">
        <v>54</v>
      </c>
      <c r="N20" s="18">
        <v>0</v>
      </c>
      <c r="O20" s="19">
        <f>_1996j</f>
        <v>2.5</v>
      </c>
      <c r="P20" s="42" t="str">
        <f>IF(O20="","","bis")</f>
        <v>bis</v>
      </c>
      <c r="Q20" s="18">
        <f>_1996k</f>
        <v>3.5</v>
      </c>
      <c r="R20" s="20">
        <v>0</v>
      </c>
      <c r="S20" s="42" t="s">
        <v>54</v>
      </c>
      <c r="T20" s="18">
        <v>0</v>
      </c>
      <c r="U20" s="20">
        <f>_1996l</f>
        <v>2.5</v>
      </c>
      <c r="V20" s="42" t="str">
        <f>IF(U20="","","bis")</f>
        <v>bis</v>
      </c>
      <c r="W20" s="19">
        <f>_1996m</f>
        <v>2.5</v>
      </c>
      <c r="X20" s="20">
        <v>0</v>
      </c>
      <c r="Y20" s="42" t="s">
        <v>54</v>
      </c>
      <c r="Z20" s="19">
        <v>0</v>
      </c>
      <c r="AA20" s="133">
        <f>_1996f</f>
        <v>1.5</v>
      </c>
      <c r="AB20" s="42" t="str">
        <f>IF(AA20="","","bis")</f>
        <v>bis</v>
      </c>
      <c r="AC20" s="134">
        <f>_1996g</f>
        <v>8</v>
      </c>
    </row>
    <row r="21" spans="6:29" ht="18" thickBot="1" x14ac:dyDescent="0.35">
      <c r="F21" s="106"/>
      <c r="G21" s="106"/>
      <c r="H21" s="106"/>
      <c r="I21" s="132"/>
      <c r="J21" s="42" t="str">
        <f>IF(I21="","","bis")</f>
        <v/>
      </c>
      <c r="K21" s="18"/>
      <c r="L21" s="20">
        <v>0</v>
      </c>
      <c r="M21" s="42" t="s">
        <v>54</v>
      </c>
      <c r="N21" s="18">
        <v>0</v>
      </c>
      <c r="O21" s="20"/>
      <c r="P21" s="42" t="str">
        <f>IF(O21="","","bis")</f>
        <v/>
      </c>
      <c r="Q21" s="18"/>
      <c r="R21" s="20">
        <v>0</v>
      </c>
      <c r="S21" s="42" t="s">
        <v>54</v>
      </c>
      <c r="T21" s="18">
        <v>0</v>
      </c>
      <c r="U21" s="20"/>
      <c r="V21" s="42" t="str">
        <f>IF(U21="","","bis")</f>
        <v/>
      </c>
      <c r="W21" s="18"/>
      <c r="X21" s="20">
        <v>0</v>
      </c>
      <c r="Y21" s="42" t="s">
        <v>54</v>
      </c>
      <c r="Z21" s="18">
        <v>0</v>
      </c>
      <c r="AA21" s="133"/>
      <c r="AB21" s="42" t="str">
        <f>IF(AA21="","","bis")</f>
        <v/>
      </c>
      <c r="AC21" s="134"/>
    </row>
    <row r="22" spans="6:29" ht="18" thickBot="1" x14ac:dyDescent="0.35">
      <c r="F22" s="106"/>
      <c r="G22" s="106"/>
      <c r="H22" s="106"/>
      <c r="I22" s="132"/>
      <c r="J22" s="42" t="str">
        <f>IF(I22="","","bis")</f>
        <v/>
      </c>
      <c r="K22" s="18"/>
      <c r="L22" s="20">
        <v>0</v>
      </c>
      <c r="M22" s="42" t="s">
        <v>54</v>
      </c>
      <c r="N22" s="18">
        <v>0</v>
      </c>
      <c r="O22" s="20"/>
      <c r="P22" s="42" t="str">
        <f>IF(O22="","","bis")</f>
        <v/>
      </c>
      <c r="Q22" s="18"/>
      <c r="R22" s="20">
        <v>0</v>
      </c>
      <c r="S22" s="42" t="s">
        <v>54</v>
      </c>
      <c r="T22" s="18">
        <v>0</v>
      </c>
      <c r="U22" s="20"/>
      <c r="V22" s="42" t="str">
        <f>IF(U22="","","bis")</f>
        <v/>
      </c>
      <c r="W22" s="18"/>
      <c r="X22" s="20">
        <v>0</v>
      </c>
      <c r="Y22" s="42" t="s">
        <v>54</v>
      </c>
      <c r="Z22" s="18">
        <v>0</v>
      </c>
      <c r="AA22" s="133"/>
      <c r="AB22" s="42" t="str">
        <f>IF(AA22="","","bis")</f>
        <v/>
      </c>
      <c r="AC22" s="134"/>
    </row>
    <row r="23" spans="6:29" ht="18" thickBot="1" x14ac:dyDescent="0.35">
      <c r="F23" s="106"/>
      <c r="G23" s="106"/>
      <c r="H23" s="106"/>
      <c r="I23" s="132"/>
      <c r="J23" s="42" t="str">
        <f>IF(I23="","","bis")</f>
        <v/>
      </c>
      <c r="K23" s="18"/>
      <c r="L23" s="20">
        <v>0</v>
      </c>
      <c r="M23" s="42" t="s">
        <v>54</v>
      </c>
      <c r="N23" s="18">
        <v>0</v>
      </c>
      <c r="O23" s="20"/>
      <c r="P23" s="42" t="str">
        <f>IF(O23="","","bis")</f>
        <v/>
      </c>
      <c r="Q23" s="18"/>
      <c r="R23" s="20">
        <v>0</v>
      </c>
      <c r="S23" s="42" t="s">
        <v>54</v>
      </c>
      <c r="T23" s="18">
        <v>0</v>
      </c>
      <c r="U23" s="20"/>
      <c r="V23" s="42" t="str">
        <f>IF(U23="","","bis")</f>
        <v/>
      </c>
      <c r="W23" s="19"/>
      <c r="X23" s="20">
        <v>0</v>
      </c>
      <c r="Y23" s="42" t="s">
        <v>54</v>
      </c>
      <c r="Z23" s="18">
        <v>0</v>
      </c>
      <c r="AA23" s="133"/>
      <c r="AB23" s="42" t="str">
        <f>IF(AA23="","","bis")</f>
        <v/>
      </c>
      <c r="AC23" s="134"/>
    </row>
    <row r="24" spans="6:29" ht="18" thickBot="1" x14ac:dyDescent="0.35">
      <c r="F24" s="106"/>
      <c r="G24" s="106"/>
      <c r="H24" s="106"/>
      <c r="I24" s="132"/>
      <c r="J24" s="42" t="str">
        <f>IF(I24="","","bis")</f>
        <v/>
      </c>
      <c r="K24" s="18"/>
      <c r="L24" s="20">
        <v>0</v>
      </c>
      <c r="M24" s="42" t="s">
        <v>54</v>
      </c>
      <c r="N24" s="18">
        <v>0</v>
      </c>
      <c r="O24" s="20"/>
      <c r="P24" s="42" t="str">
        <f>IF(O24="","","bis")</f>
        <v/>
      </c>
      <c r="Q24" s="18"/>
      <c r="R24" s="20">
        <v>0</v>
      </c>
      <c r="S24" s="42" t="s">
        <v>54</v>
      </c>
      <c r="T24" s="18">
        <v>0</v>
      </c>
      <c r="U24" s="20"/>
      <c r="V24" s="42" t="str">
        <f>IF(U24="","","bis")</f>
        <v/>
      </c>
      <c r="W24" s="18"/>
      <c r="X24" s="20">
        <v>0</v>
      </c>
      <c r="Y24" s="42" t="s">
        <v>54</v>
      </c>
      <c r="Z24" s="18">
        <v>0</v>
      </c>
      <c r="AA24" s="133"/>
      <c r="AB24" s="42" t="str">
        <f>IF(AA24="","","bis")</f>
        <v/>
      </c>
      <c r="AC24" s="134"/>
    </row>
  </sheetData>
  <sheetProtection algorithmName="SHA-512" hashValue="iB9ERc4VwRnKQvu1KG+AuF/EWh/rt+a0axR7+RUVhbT21H8+7XIHWhrD7o31b4dP/osbRLIEzxHJ4dED2UiIyA==" saltValue="mGcF2chVEtegUIrZPKXo0w==" spinCount="100000" sheet="1" objects="1" scenarios="1"/>
  <mergeCells count="21">
    <mergeCell ref="B3:D3"/>
    <mergeCell ref="I4:N4"/>
    <mergeCell ref="O4:T4"/>
    <mergeCell ref="U4:Z4"/>
    <mergeCell ref="I5:K5"/>
    <mergeCell ref="L5:N5"/>
    <mergeCell ref="O5:Q5"/>
    <mergeCell ref="R5:T5"/>
    <mergeCell ref="U5:W5"/>
    <mergeCell ref="U19:W19"/>
    <mergeCell ref="X19:Z19"/>
    <mergeCell ref="X5:Z5"/>
    <mergeCell ref="AA4:AC5"/>
    <mergeCell ref="I18:N18"/>
    <mergeCell ref="O18:T18"/>
    <mergeCell ref="U18:Z18"/>
    <mergeCell ref="AA18:AC19"/>
    <mergeCell ref="I19:K19"/>
    <mergeCell ref="L19:N19"/>
    <mergeCell ref="O19:Q19"/>
    <mergeCell ref="R19:T19"/>
  </mergeCells>
  <conditionalFormatting sqref="B6 E6:E10">
    <cfRule type="cellIs" dxfId="561" priority="15" operator="greaterThan">
      <formula>$B$12</formula>
    </cfRule>
  </conditionalFormatting>
  <conditionalFormatting sqref="C6">
    <cfRule type="cellIs" dxfId="560" priority="14" operator="greaterThan">
      <formula>$B$12</formula>
    </cfRule>
  </conditionalFormatting>
  <conditionalFormatting sqref="D6">
    <cfRule type="cellIs" dxfId="559" priority="13" operator="greaterThan">
      <formula>$B$12</formula>
    </cfRule>
  </conditionalFormatting>
  <conditionalFormatting sqref="B7">
    <cfRule type="cellIs" dxfId="558" priority="12" operator="greaterThan">
      <formula>$B$12</formula>
    </cfRule>
  </conditionalFormatting>
  <conditionalFormatting sqref="C7">
    <cfRule type="cellIs" dxfId="557" priority="11" operator="greaterThan">
      <formula>$B$12</formula>
    </cfRule>
  </conditionalFormatting>
  <conditionalFormatting sqref="D7">
    <cfRule type="cellIs" dxfId="556" priority="10" operator="greaterThan">
      <formula>$B$12</formula>
    </cfRule>
  </conditionalFormatting>
  <conditionalFormatting sqref="B8">
    <cfRule type="cellIs" dxfId="555" priority="9" operator="greaterThan">
      <formula>$B$12</formula>
    </cfRule>
  </conditionalFormatting>
  <conditionalFormatting sqref="B9">
    <cfRule type="cellIs" dxfId="554" priority="8" operator="greaterThan">
      <formula>$B$12</formula>
    </cfRule>
  </conditionalFormatting>
  <conditionalFormatting sqref="B10">
    <cfRule type="cellIs" dxfId="553" priority="7" operator="greaterThan">
      <formula>$B$12</formula>
    </cfRule>
  </conditionalFormatting>
  <conditionalFormatting sqref="C8">
    <cfRule type="cellIs" dxfId="552" priority="6" operator="greaterThan">
      <formula>$B$12</formula>
    </cfRule>
  </conditionalFormatting>
  <conditionalFormatting sqref="D8">
    <cfRule type="cellIs" dxfId="551" priority="5" operator="greaterThan">
      <formula>$B$12</formula>
    </cfRule>
  </conditionalFormatting>
  <conditionalFormatting sqref="C9">
    <cfRule type="cellIs" dxfId="550" priority="4" operator="greaterThan">
      <formula>$B$12</formula>
    </cfRule>
  </conditionalFormatting>
  <conditionalFormatting sqref="D9">
    <cfRule type="cellIs" dxfId="549" priority="3" operator="greaterThan">
      <formula>$B$12</formula>
    </cfRule>
  </conditionalFormatting>
  <conditionalFormatting sqref="C10">
    <cfRule type="cellIs" dxfId="548" priority="2" operator="greaterThan">
      <formula>$B$12</formula>
    </cfRule>
  </conditionalFormatting>
  <conditionalFormatting sqref="D10">
    <cfRule type="cellIs" dxfId="547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31.5546875" style="11" bestFit="1" customWidth="1"/>
    <col min="8" max="8" width="21.5546875" style="11" bestFit="1" customWidth="1"/>
    <col min="9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9" x14ac:dyDescent="0.3">
      <c r="A1" s="10"/>
    </row>
    <row r="2" spans="1:29" ht="18" thickBot="1" x14ac:dyDescent="0.35"/>
    <row r="3" spans="1:29" ht="18" thickBot="1" x14ac:dyDescent="0.35">
      <c r="A3" s="33" t="s">
        <v>63</v>
      </c>
      <c r="B3" s="423">
        <v>1</v>
      </c>
      <c r="C3" s="423"/>
      <c r="D3" s="424"/>
    </row>
    <row r="4" spans="1:29" ht="18.75" customHeight="1" thickBot="1" x14ac:dyDescent="0.35">
      <c r="G4" s="111" t="str">
        <f>"025"</f>
        <v>025</v>
      </c>
      <c r="H4" s="111" t="str">
        <f>"025"</f>
        <v>025</v>
      </c>
      <c r="I4" s="381">
        <v>50</v>
      </c>
      <c r="J4" s="382"/>
      <c r="K4" s="382"/>
      <c r="L4" s="382"/>
      <c r="M4" s="382"/>
      <c r="N4" s="399"/>
      <c r="O4" s="383">
        <v>75</v>
      </c>
      <c r="P4" s="383"/>
      <c r="Q4" s="383"/>
      <c r="R4" s="383"/>
      <c r="S4" s="383"/>
      <c r="T4" s="400"/>
      <c r="U4" s="384">
        <v>90</v>
      </c>
      <c r="V4" s="385"/>
      <c r="W4" s="385"/>
      <c r="X4" s="385"/>
      <c r="Y4" s="385"/>
      <c r="Z4" s="401"/>
      <c r="AA4" s="391" t="s">
        <v>53</v>
      </c>
      <c r="AB4" s="392"/>
      <c r="AC4" s="393"/>
    </row>
    <row r="5" spans="1:29" ht="18" thickBot="1" x14ac:dyDescent="0.35">
      <c r="A5" s="13" t="s">
        <v>52</v>
      </c>
      <c r="B5" s="14">
        <v>1</v>
      </c>
      <c r="C5" s="15">
        <v>4</v>
      </c>
      <c r="D5" s="15">
        <v>8</v>
      </c>
      <c r="E5" s="104"/>
      <c r="F5" s="106" t="s">
        <v>9</v>
      </c>
      <c r="G5" s="13" t="s">
        <v>200</v>
      </c>
      <c r="H5" s="13" t="s">
        <v>223</v>
      </c>
      <c r="I5" s="402" t="s">
        <v>14</v>
      </c>
      <c r="J5" s="403"/>
      <c r="K5" s="404"/>
      <c r="L5" s="381" t="s">
        <v>55</v>
      </c>
      <c r="M5" s="382"/>
      <c r="N5" s="399"/>
      <c r="O5" s="405" t="s">
        <v>14</v>
      </c>
      <c r="P5" s="383"/>
      <c r="Q5" s="400"/>
      <c r="R5" s="405" t="s">
        <v>55</v>
      </c>
      <c r="S5" s="383"/>
      <c r="T5" s="400"/>
      <c r="U5" s="384" t="s">
        <v>14</v>
      </c>
      <c r="V5" s="385"/>
      <c r="W5" s="401"/>
      <c r="X5" s="388" t="s">
        <v>55</v>
      </c>
      <c r="Y5" s="389"/>
      <c r="Z5" s="390"/>
      <c r="AA5" s="425"/>
      <c r="AB5" s="426"/>
      <c r="AC5" s="427"/>
    </row>
    <row r="6" spans="1:29" ht="18" thickBot="1" x14ac:dyDescent="0.35">
      <c r="A6" s="16">
        <v>6</v>
      </c>
      <c r="B6" s="17">
        <f>(((SQRT(B5)*$B$3)/SQRT(3))*$C$15)/$A6</f>
        <v>115.47005383792516</v>
      </c>
      <c r="C6" s="17">
        <f>(((SQRT(C5)*$B$3)/SQRT(3))*$C$15)/$A6</f>
        <v>230.94010767585033</v>
      </c>
      <c r="D6" s="17">
        <f>(((SQRT(D5)*$B$3)/SQRT(3))*$C$15)/$A6</f>
        <v>326.59863237109045</v>
      </c>
      <c r="E6" s="105"/>
      <c r="F6" s="106" t="str">
        <f>_2019b</f>
        <v>Lechler</v>
      </c>
      <c r="G6" s="106" t="str">
        <f>_2019c</f>
        <v>IDTA 120 025 C</v>
      </c>
      <c r="H6" s="106" t="str">
        <f>_2019t</f>
        <v>ID (3) 120 025</v>
      </c>
      <c r="I6" s="132">
        <f>_2019h</f>
        <v>0</v>
      </c>
      <c r="J6" s="42" t="str">
        <f>IF(I6="","","bis")</f>
        <v>bis</v>
      </c>
      <c r="K6" s="19">
        <f>_2019i</f>
        <v>0</v>
      </c>
      <c r="L6" s="20">
        <f>(((SQRT($I6)*$B$3)/SQRT(3))*60000)/($B$12*$B$15)</f>
        <v>0</v>
      </c>
      <c r="M6" s="42" t="str">
        <f>IF(L6="","","bis")</f>
        <v>bis</v>
      </c>
      <c r="N6" s="18">
        <f>(((SQRT($K6)*$B$3)/SQRT(3))*60000)/($B$12*$B$15)</f>
        <v>0</v>
      </c>
      <c r="O6" s="19">
        <f>_2019j</f>
        <v>0</v>
      </c>
      <c r="P6" s="42" t="str">
        <f>IF(O6="","","bis")</f>
        <v>bis</v>
      </c>
      <c r="Q6" s="18">
        <f>_2019k</f>
        <v>0</v>
      </c>
      <c r="R6" s="20">
        <f>(((SQRT($O6)*$B$3)/SQRT(3))*60000)/($B$12*$B$15)</f>
        <v>0</v>
      </c>
      <c r="S6" s="42" t="str">
        <f>IF(R6="","","bis")</f>
        <v>bis</v>
      </c>
      <c r="T6" s="18">
        <f>(((SQRT($Q6)*$B$3)/SQRT(3))*60000)/($B$12*$B$15)</f>
        <v>0</v>
      </c>
      <c r="U6" s="20">
        <f>_2019l</f>
        <v>1.5</v>
      </c>
      <c r="V6" s="42" t="str">
        <f>IF(U6="","","bis")</f>
        <v>bis</v>
      </c>
      <c r="W6" s="19">
        <f>_2019m</f>
        <v>2</v>
      </c>
      <c r="X6" s="20">
        <f>(((SQRT($U6)*$B$3)/SQRT(3))*60000)/($B$12*$B$15)</f>
        <v>4.5866385806694971</v>
      </c>
      <c r="Y6" s="42" t="str">
        <f>IF(X6="","","bis")</f>
        <v>bis</v>
      </c>
      <c r="Z6" s="19">
        <f>(((SQRT($W6)*$B$3)/SQRT(3))*60000)/($B$12*$B$15)</f>
        <v>5.2961940384501158</v>
      </c>
      <c r="AA6" s="133">
        <f>_2019f</f>
        <v>1.5</v>
      </c>
      <c r="AB6" s="42" t="str">
        <f>IF(AA6="","","bis")</f>
        <v>bis</v>
      </c>
      <c r="AC6" s="134">
        <f>_2019g</f>
        <v>8</v>
      </c>
    </row>
    <row r="7" spans="1:29" ht="18" thickBot="1" x14ac:dyDescent="0.35">
      <c r="A7" s="21">
        <v>7</v>
      </c>
      <c r="B7" s="17">
        <f>(((SQRT(B5)*$B$3)/SQRT(3))*$C$15)/$A7</f>
        <v>98.97433186107871</v>
      </c>
      <c r="C7" s="17">
        <f>(((SQRT(C5)*$B$3)/SQRT(3))*$C$15)/$A7</f>
        <v>197.94866372215742</v>
      </c>
      <c r="D7" s="17">
        <f>(((SQRT(D5)*$B$3)/SQRT(3))*$C$15)/$A7</f>
        <v>279.94168488950612</v>
      </c>
      <c r="E7" s="105"/>
      <c r="F7" s="106"/>
      <c r="G7" s="106"/>
      <c r="H7" s="106"/>
      <c r="I7" s="132"/>
      <c r="J7" s="42" t="str">
        <f>IF(I7="","","bis")</f>
        <v/>
      </c>
      <c r="K7" s="19"/>
      <c r="L7" s="20">
        <f>(((SQRT($I7)*$B$3)/SQRT(3))*60000)/($B$12*$B$15)</f>
        <v>0</v>
      </c>
      <c r="M7" s="42" t="str">
        <f>IF(L7="","","bis")</f>
        <v>bis</v>
      </c>
      <c r="N7" s="18">
        <f>(((SQRT($K7)*$B$3)/SQRT(3))*60000)/($B$12*$B$15)</f>
        <v>0</v>
      </c>
      <c r="O7" s="19"/>
      <c r="P7" s="42" t="str">
        <f>IF(O7="","","bis")</f>
        <v/>
      </c>
      <c r="Q7" s="18"/>
      <c r="R7" s="20">
        <f>(((SQRT($O7)*$B$3)/SQRT(3))*60000)/($B$12*$B$15)</f>
        <v>0</v>
      </c>
      <c r="S7" s="42" t="str">
        <f>IF(R7="","","bis")</f>
        <v>bis</v>
      </c>
      <c r="T7" s="18">
        <f>(((SQRT($Q7)*$B$3)/SQRT(3))*60000)/($B$12*$B$15)</f>
        <v>0</v>
      </c>
      <c r="U7" s="20"/>
      <c r="V7" s="42" t="str">
        <f>IF(U7="","","bis")</f>
        <v/>
      </c>
      <c r="W7" s="19"/>
      <c r="X7" s="20">
        <f>(((SQRT($U7)*$B$3)/SQRT(3))*60000)/($B$12*$B$15)</f>
        <v>0</v>
      </c>
      <c r="Y7" s="42" t="str">
        <f>IF(X7="","","bis")</f>
        <v>bis</v>
      </c>
      <c r="Z7" s="18">
        <f>(((SQRT($W7)*$B$3)/SQRT(3))*60000)/($B$12*$B$15)</f>
        <v>0</v>
      </c>
      <c r="AA7" s="133"/>
      <c r="AB7" s="42" t="str">
        <f>IF(AA7="","","bis")</f>
        <v/>
      </c>
      <c r="AC7" s="134"/>
    </row>
    <row r="8" spans="1:29" ht="18" thickBot="1" x14ac:dyDescent="0.35">
      <c r="A8" s="21">
        <v>8</v>
      </c>
      <c r="B8" s="17">
        <f>(((SQRT(B5)*$B$3)/SQRT(3))*$C$15)/$A8</f>
        <v>86.602540378443877</v>
      </c>
      <c r="C8" s="17">
        <f>(((SQRT(C5)*$B$3)/SQRT(3))*1200)/$A8</f>
        <v>173.20508075688775</v>
      </c>
      <c r="D8" s="17">
        <f>(((SQRT(D5)*$B$3)/SQRT(3))*1200)/$A8</f>
        <v>244.94897427831785</v>
      </c>
      <c r="E8" s="105"/>
      <c r="F8" s="106"/>
      <c r="G8" s="106"/>
      <c r="H8" s="106"/>
      <c r="I8" s="132"/>
      <c r="J8" s="42" t="str">
        <f>IF(I8="","","bis")</f>
        <v/>
      </c>
      <c r="K8" s="18"/>
      <c r="L8" s="20">
        <f>(((SQRT($I8)*$B$3)/SQRT(3))*60000)/($B$12*$B$15)</f>
        <v>0</v>
      </c>
      <c r="M8" s="42" t="str">
        <f>IF(L8="","","bis")</f>
        <v>bis</v>
      </c>
      <c r="N8" s="18">
        <f>(((SQRT($K8)*$B$3)/SQRT(3))*60000)/($B$12*$B$15)</f>
        <v>0</v>
      </c>
      <c r="O8" s="20"/>
      <c r="P8" s="42" t="str">
        <f>IF(O8="","","bis")</f>
        <v/>
      </c>
      <c r="Q8" s="18"/>
      <c r="R8" s="20">
        <f>(((SQRT($O8)*$B$3)/SQRT(3))*60000)/($B$12*$B$15)</f>
        <v>0</v>
      </c>
      <c r="S8" s="42" t="str">
        <f>IF(R8="","","bis")</f>
        <v>bis</v>
      </c>
      <c r="T8" s="18">
        <f>(((SQRT($Q8)*$B$3)/SQRT(3))*60000)/($B$12*$B$15)</f>
        <v>0</v>
      </c>
      <c r="U8" s="20"/>
      <c r="V8" s="42" t="str">
        <f>IF(U8="","","bis")</f>
        <v/>
      </c>
      <c r="W8" s="18"/>
      <c r="X8" s="20">
        <f>(((SQRT($U8)*$B$3)/SQRT(3))*60000)/($B$12*$B$15)</f>
        <v>0</v>
      </c>
      <c r="Y8" s="42" t="str">
        <f>IF(X8="","","bis")</f>
        <v>bis</v>
      </c>
      <c r="Z8" s="18">
        <f>(((SQRT($W8)*$B$3)/SQRT(3))*60000)/($B$12*$B$15)</f>
        <v>0</v>
      </c>
      <c r="AA8" s="133"/>
      <c r="AB8" s="42" t="str">
        <f>IF(AA8="","","bis")</f>
        <v/>
      </c>
      <c r="AC8" s="134"/>
    </row>
    <row r="9" spans="1:29" ht="18" thickBot="1" x14ac:dyDescent="0.35">
      <c r="A9" s="21">
        <v>9</v>
      </c>
      <c r="B9" s="17">
        <f>(((SQRT(B5)*$B$3)/SQRT(3))*$C$15)/$A9</f>
        <v>76.980035891950109</v>
      </c>
      <c r="C9" s="17">
        <f>(((SQRT(C5)*$B$3)/SQRT(3))*$C$15)/$A9</f>
        <v>153.96007178390022</v>
      </c>
      <c r="D9" s="17">
        <f>(((SQRT(D5)*$B$3)/SQRT(3))*$C$15)/$A9</f>
        <v>217.73242158072696</v>
      </c>
      <c r="E9" s="105"/>
      <c r="F9" s="106"/>
      <c r="G9" s="106"/>
      <c r="H9" s="106"/>
      <c r="I9" s="132"/>
      <c r="J9" s="42" t="str">
        <f>IF(I9="","","bis")</f>
        <v/>
      </c>
      <c r="K9" s="18"/>
      <c r="L9" s="20">
        <f>(((SQRT($I9)*$B$3)/SQRT(3))*60000)/($B$12*$B$15)</f>
        <v>0</v>
      </c>
      <c r="M9" s="42" t="str">
        <f>IF(L9="","","bis")</f>
        <v>bis</v>
      </c>
      <c r="N9" s="18">
        <f>(((SQRT($K9)*$B$3)/SQRT(3))*60000)/($B$12*$B$15)</f>
        <v>0</v>
      </c>
      <c r="O9" s="20"/>
      <c r="P9" s="42" t="str">
        <f>IF(O9="","","bis")</f>
        <v/>
      </c>
      <c r="Q9" s="18"/>
      <c r="R9" s="20">
        <f>(((SQRT($O9)*$B$3)/SQRT(3))*60000)/($B$12*$B$15)</f>
        <v>0</v>
      </c>
      <c r="S9" s="42" t="str">
        <f>IF(R9="","","bis")</f>
        <v>bis</v>
      </c>
      <c r="T9" s="18">
        <f>(((SQRT($Q9)*$B$3)/SQRT(3))*60000)/($B$12*$B$15)</f>
        <v>0</v>
      </c>
      <c r="U9" s="20"/>
      <c r="V9" s="42" t="str">
        <f>IF(U9="","","bis")</f>
        <v/>
      </c>
      <c r="W9" s="19"/>
      <c r="X9" s="20">
        <f>(((SQRT($U9)*$B$3)/SQRT(3))*60000)/($B$12*$B$15)</f>
        <v>0</v>
      </c>
      <c r="Y9" s="42" t="str">
        <f>IF(X9="","","bis")</f>
        <v>bis</v>
      </c>
      <c r="Z9" s="18">
        <f>(((SQRT($W9)*$B$3)/SQRT(3))*60000)/($B$12*$B$15)</f>
        <v>0</v>
      </c>
      <c r="AA9" s="133"/>
      <c r="AB9" s="42" t="str">
        <f>IF(AA9="","","bis")</f>
        <v/>
      </c>
      <c r="AC9" s="134"/>
    </row>
    <row r="10" spans="1:29" ht="18" thickBot="1" x14ac:dyDescent="0.35">
      <c r="A10" s="22">
        <v>10</v>
      </c>
      <c r="B10" s="27">
        <f>(((SQRT(B5)*$B$3)/SQRT(3))*$C$15)/$A10</f>
        <v>69.282032302755098</v>
      </c>
      <c r="C10" s="27">
        <f>(((SQRT(C5)*$B$3)/SQRT(3))*$C$15)/$A10</f>
        <v>138.5640646055102</v>
      </c>
      <c r="D10" s="27">
        <f>(((SQRT(D5)*$B$3)/SQRT(3))*$C$15)/$A10</f>
        <v>195.95917942265427</v>
      </c>
      <c r="E10" s="105"/>
      <c r="F10" s="106"/>
      <c r="G10" s="106"/>
      <c r="H10" s="106"/>
      <c r="I10" s="132"/>
      <c r="J10" s="42" t="str">
        <f>IF(I10="","","bis")</f>
        <v/>
      </c>
      <c r="K10" s="18"/>
      <c r="L10" s="20">
        <f>(((SQRT($I10)*$B$3)/SQRT(3))*60000)/($B$12*$B$15)</f>
        <v>0</v>
      </c>
      <c r="M10" s="42" t="str">
        <f>IF(L10="","","bis")</f>
        <v>bis</v>
      </c>
      <c r="N10" s="18">
        <f>(((SQRT($K10)*$B$3)/SQRT(3))*60000)/($B$12*$B$15)</f>
        <v>0</v>
      </c>
      <c r="O10" s="20"/>
      <c r="P10" s="42" t="str">
        <f>IF(O10="","","bis")</f>
        <v/>
      </c>
      <c r="Q10" s="18"/>
      <c r="R10" s="20">
        <f>(((SQRT($O10)*$B$3)/SQRT(3))*60000)/($B$12*$B$15)</f>
        <v>0</v>
      </c>
      <c r="S10" s="42" t="str">
        <f>IF(R10="","","bis")</f>
        <v>bis</v>
      </c>
      <c r="T10" s="18">
        <f>(((SQRT($Q10)*$B$3)/SQRT(3))*60000)/($B$12*$B$15)</f>
        <v>0</v>
      </c>
      <c r="U10" s="20"/>
      <c r="V10" s="42" t="str">
        <f>IF(U10="","","bis")</f>
        <v/>
      </c>
      <c r="W10" s="18"/>
      <c r="X10" s="20">
        <f>(((SQRT($U10)*$B$3)/SQRT(3))*60000)/($B$12*$B$15)</f>
        <v>0</v>
      </c>
      <c r="Y10" s="42" t="str">
        <f>IF(X10="","","bis")</f>
        <v>bis</v>
      </c>
      <c r="Z10" s="18">
        <f>(((SQRT($W10)*$B$3)/SQRT(3))*60000)/($B$12*$B$15)</f>
        <v>0</v>
      </c>
      <c r="AA10" s="133"/>
      <c r="AB10" s="42" t="str">
        <f>IF(AA10="","","bis")</f>
        <v/>
      </c>
      <c r="AC10" s="134"/>
    </row>
    <row r="11" spans="1:29" ht="18" thickBot="1" x14ac:dyDescent="0.35">
      <c r="J11" s="2"/>
    </row>
    <row r="12" spans="1:29" ht="18" thickBot="1" x14ac:dyDescent="0.35">
      <c r="A12" s="23" t="s">
        <v>56</v>
      </c>
      <c r="B12" s="8">
        <v>185</v>
      </c>
      <c r="C12" s="24"/>
      <c r="D12" s="167">
        <f>Tabelle1!A2</f>
        <v>200</v>
      </c>
    </row>
    <row r="13" spans="1:29" ht="18" thickBot="1" x14ac:dyDescent="0.35">
      <c r="A13" s="23" t="s">
        <v>57</v>
      </c>
      <c r="B13" s="25">
        <f>POWER(((SQRT(3)*$C$13)/$B$3),2)</f>
        <v>2.566875</v>
      </c>
      <c r="C13" s="26">
        <f>(B12*B14*B15)/60000</f>
        <v>0.92500000000000004</v>
      </c>
      <c r="D13" s="25">
        <f>POWER(((SQRT(3)*$E$13)/$B$3),2)</f>
        <v>24.083333333333332</v>
      </c>
      <c r="E13" s="26">
        <f>(D12*D14*D15)/60000</f>
        <v>2.8333333333333335</v>
      </c>
    </row>
    <row r="14" spans="1:29" ht="18" thickBot="1" x14ac:dyDescent="0.35">
      <c r="A14" s="23" t="s">
        <v>58</v>
      </c>
      <c r="B14" s="9">
        <v>6</v>
      </c>
      <c r="D14" s="168">
        <f>Tabelle1!A4</f>
        <v>17</v>
      </c>
    </row>
    <row r="15" spans="1:29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  <row r="16" spans="1:29" x14ac:dyDescent="0.3">
      <c r="F16" s="115"/>
      <c r="G16" s="115"/>
      <c r="H16" s="115"/>
      <c r="I16" s="115"/>
      <c r="J16" s="115"/>
      <c r="K16" s="115"/>
      <c r="L16" s="115"/>
      <c r="M16" s="115"/>
      <c r="N16" s="115"/>
      <c r="O16" s="116"/>
      <c r="P16" s="116"/>
      <c r="Q16" s="116"/>
      <c r="R16" s="116"/>
      <c r="S16" s="116"/>
      <c r="T16" s="116"/>
      <c r="U16" s="115"/>
      <c r="V16" s="115"/>
      <c r="W16" s="115"/>
      <c r="X16" s="115"/>
      <c r="Y16" s="115"/>
      <c r="Z16" s="115"/>
      <c r="AA16" s="115"/>
      <c r="AB16" s="115"/>
      <c r="AC16" s="115"/>
    </row>
    <row r="17" spans="6:29" x14ac:dyDescent="0.3">
      <c r="F17" s="115"/>
      <c r="G17" s="115"/>
      <c r="H17" s="115"/>
      <c r="I17" s="115"/>
      <c r="J17" s="115"/>
      <c r="K17" s="115"/>
      <c r="L17" s="115"/>
      <c r="M17" s="115"/>
      <c r="N17" s="115"/>
      <c r="O17" s="116"/>
      <c r="P17" s="116"/>
      <c r="Q17" s="116"/>
      <c r="R17" s="116"/>
      <c r="S17" s="116"/>
      <c r="T17" s="116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6:29" x14ac:dyDescent="0.3">
      <c r="F18" s="115"/>
      <c r="G18" s="119"/>
      <c r="H18" s="120"/>
      <c r="I18" s="428"/>
      <c r="J18" s="428"/>
      <c r="K18" s="428"/>
      <c r="L18" s="428"/>
      <c r="M18" s="428"/>
      <c r="N18" s="428"/>
      <c r="O18" s="429"/>
      <c r="P18" s="429"/>
      <c r="Q18" s="429"/>
      <c r="R18" s="429"/>
      <c r="S18" s="429"/>
      <c r="T18" s="429"/>
      <c r="U18" s="428"/>
      <c r="V18" s="428"/>
      <c r="W18" s="428"/>
      <c r="X18" s="428"/>
      <c r="Y18" s="428"/>
      <c r="Z18" s="428"/>
      <c r="AA18" s="395"/>
      <c r="AB18" s="395"/>
      <c r="AC18" s="395"/>
    </row>
    <row r="19" spans="6:29" x14ac:dyDescent="0.3">
      <c r="F19" s="116"/>
      <c r="G19" s="116"/>
      <c r="H19" s="116"/>
      <c r="I19" s="428"/>
      <c r="J19" s="428"/>
      <c r="K19" s="428"/>
      <c r="L19" s="428"/>
      <c r="M19" s="428"/>
      <c r="N19" s="428"/>
      <c r="O19" s="429"/>
      <c r="P19" s="429"/>
      <c r="Q19" s="429"/>
      <c r="R19" s="429"/>
      <c r="S19" s="429"/>
      <c r="T19" s="429"/>
      <c r="U19" s="428"/>
      <c r="V19" s="428"/>
      <c r="W19" s="428"/>
      <c r="X19" s="428"/>
      <c r="Y19" s="428"/>
      <c r="Z19" s="428"/>
      <c r="AA19" s="395"/>
      <c r="AB19" s="395"/>
      <c r="AC19" s="395"/>
    </row>
    <row r="20" spans="6:29" x14ac:dyDescent="0.3">
      <c r="F20" s="115"/>
      <c r="G20" s="115"/>
      <c r="H20" s="115"/>
      <c r="I20" s="136"/>
      <c r="J20" s="117"/>
      <c r="K20" s="118"/>
      <c r="L20" s="118"/>
      <c r="M20" s="117"/>
      <c r="N20" s="118"/>
      <c r="O20" s="118"/>
      <c r="P20" s="117"/>
      <c r="Q20" s="118"/>
      <c r="R20" s="118"/>
      <c r="S20" s="117"/>
      <c r="T20" s="118"/>
      <c r="U20" s="118"/>
      <c r="V20" s="117"/>
      <c r="W20" s="118"/>
      <c r="X20" s="118"/>
      <c r="Y20" s="117"/>
      <c r="Z20" s="118"/>
      <c r="AA20" s="137"/>
      <c r="AB20" s="117"/>
      <c r="AC20" s="117"/>
    </row>
    <row r="21" spans="6:29" x14ac:dyDescent="0.3">
      <c r="F21" s="115"/>
      <c r="G21" s="115"/>
      <c r="H21" s="115"/>
      <c r="I21" s="136"/>
      <c r="J21" s="117"/>
      <c r="K21" s="118"/>
      <c r="L21" s="118"/>
      <c r="M21" s="117"/>
      <c r="N21" s="118"/>
      <c r="O21" s="118"/>
      <c r="P21" s="117"/>
      <c r="Q21" s="118"/>
      <c r="R21" s="118"/>
      <c r="S21" s="117"/>
      <c r="T21" s="118"/>
      <c r="U21" s="118"/>
      <c r="V21" s="117"/>
      <c r="W21" s="118"/>
      <c r="X21" s="118"/>
      <c r="Y21" s="117"/>
      <c r="Z21" s="118"/>
      <c r="AA21" s="137"/>
      <c r="AB21" s="117"/>
      <c r="AC21" s="117"/>
    </row>
    <row r="22" spans="6:29" x14ac:dyDescent="0.3">
      <c r="F22" s="115"/>
      <c r="G22" s="115"/>
      <c r="H22" s="115"/>
      <c r="I22" s="136"/>
      <c r="J22" s="117"/>
      <c r="K22" s="118"/>
      <c r="L22" s="118"/>
      <c r="M22" s="117"/>
      <c r="N22" s="118"/>
      <c r="O22" s="118"/>
      <c r="P22" s="117"/>
      <c r="Q22" s="118"/>
      <c r="R22" s="118"/>
      <c r="S22" s="117"/>
      <c r="T22" s="118"/>
      <c r="U22" s="118"/>
      <c r="V22" s="117"/>
      <c r="W22" s="118"/>
      <c r="X22" s="118"/>
      <c r="Y22" s="117"/>
      <c r="Z22" s="118"/>
      <c r="AA22" s="137"/>
      <c r="AB22" s="117"/>
      <c r="AC22" s="117"/>
    </row>
    <row r="23" spans="6:29" x14ac:dyDescent="0.3">
      <c r="F23" s="115"/>
      <c r="G23" s="115"/>
      <c r="H23" s="115"/>
      <c r="I23" s="136"/>
      <c r="J23" s="117"/>
      <c r="K23" s="118"/>
      <c r="L23" s="118"/>
      <c r="M23" s="117"/>
      <c r="N23" s="118"/>
      <c r="O23" s="118"/>
      <c r="P23" s="117"/>
      <c r="Q23" s="118"/>
      <c r="R23" s="118"/>
      <c r="S23" s="117"/>
      <c r="T23" s="118"/>
      <c r="U23" s="118"/>
      <c r="V23" s="117"/>
      <c r="W23" s="118"/>
      <c r="X23" s="118"/>
      <c r="Y23" s="117"/>
      <c r="Z23" s="118"/>
      <c r="AA23" s="137"/>
      <c r="AB23" s="117"/>
      <c r="AC23" s="117"/>
    </row>
    <row r="24" spans="6:29" x14ac:dyDescent="0.3">
      <c r="F24" s="115"/>
      <c r="G24" s="115"/>
      <c r="H24" s="115"/>
      <c r="I24" s="136"/>
      <c r="J24" s="117"/>
      <c r="K24" s="118"/>
      <c r="L24" s="118"/>
      <c r="M24" s="117"/>
      <c r="N24" s="118"/>
      <c r="O24" s="118"/>
      <c r="P24" s="117"/>
      <c r="Q24" s="118"/>
      <c r="R24" s="118"/>
      <c r="S24" s="117"/>
      <c r="T24" s="118"/>
      <c r="U24" s="118"/>
      <c r="V24" s="117"/>
      <c r="W24" s="118"/>
      <c r="X24" s="118"/>
      <c r="Y24" s="117"/>
      <c r="Z24" s="118"/>
      <c r="AA24" s="137"/>
      <c r="AB24" s="117"/>
      <c r="AC24" s="117"/>
    </row>
  </sheetData>
  <sheetProtection algorithmName="SHA-512" hashValue="SK8vamzBhtntl6omh8nxKn42cxBrRpFUpPBcvZOS2rTsr5nLa4JN/ZHtnCSdxoNYVq9jqzdTM5Bh8qhUO38mXg==" saltValue="mzf5TZXERJ8V1vy8cZj8jA==" spinCount="100000" sheet="1" objects="1" scenarios="1"/>
  <mergeCells count="21">
    <mergeCell ref="B3:D3"/>
    <mergeCell ref="I4:N4"/>
    <mergeCell ref="O4:T4"/>
    <mergeCell ref="U4:Z4"/>
    <mergeCell ref="AA4:AC5"/>
    <mergeCell ref="I5:K5"/>
    <mergeCell ref="L5:N5"/>
    <mergeCell ref="O5:Q5"/>
    <mergeCell ref="R5:T5"/>
    <mergeCell ref="U5:W5"/>
    <mergeCell ref="X5:Z5"/>
    <mergeCell ref="AA18:AC19"/>
    <mergeCell ref="I19:K19"/>
    <mergeCell ref="L19:N19"/>
    <mergeCell ref="O19:Q19"/>
    <mergeCell ref="R19:T19"/>
    <mergeCell ref="U19:W19"/>
    <mergeCell ref="X19:Z19"/>
    <mergeCell ref="I18:N18"/>
    <mergeCell ref="O18:T18"/>
    <mergeCell ref="U18:Z18"/>
  </mergeCells>
  <conditionalFormatting sqref="B6 E6:E10">
    <cfRule type="cellIs" dxfId="546" priority="15" operator="greaterThan">
      <formula>$B$12</formula>
    </cfRule>
  </conditionalFormatting>
  <conditionalFormatting sqref="C6">
    <cfRule type="cellIs" dxfId="545" priority="14" operator="greaterThan">
      <formula>$B$12</formula>
    </cfRule>
  </conditionalFormatting>
  <conditionalFormatting sqref="D6">
    <cfRule type="cellIs" dxfId="544" priority="13" operator="greaterThan">
      <formula>$B$12</formula>
    </cfRule>
  </conditionalFormatting>
  <conditionalFormatting sqref="B7">
    <cfRule type="cellIs" dxfId="543" priority="12" operator="greaterThan">
      <formula>$B$12</formula>
    </cfRule>
  </conditionalFormatting>
  <conditionalFormatting sqref="C7">
    <cfRule type="cellIs" dxfId="542" priority="11" operator="greaterThan">
      <formula>$B$12</formula>
    </cfRule>
  </conditionalFormatting>
  <conditionalFormatting sqref="D7">
    <cfRule type="cellIs" dxfId="541" priority="10" operator="greaterThan">
      <formula>$B$12</formula>
    </cfRule>
  </conditionalFormatting>
  <conditionalFormatting sqref="B8">
    <cfRule type="cellIs" dxfId="540" priority="9" operator="greaterThan">
      <formula>$B$12</formula>
    </cfRule>
  </conditionalFormatting>
  <conditionalFormatting sqref="B9">
    <cfRule type="cellIs" dxfId="539" priority="8" operator="greaterThan">
      <formula>$B$12</formula>
    </cfRule>
  </conditionalFormatting>
  <conditionalFormatting sqref="B10">
    <cfRule type="cellIs" dxfId="538" priority="7" operator="greaterThan">
      <formula>$B$12</formula>
    </cfRule>
  </conditionalFormatting>
  <conditionalFormatting sqref="C8">
    <cfRule type="cellIs" dxfId="537" priority="6" operator="greaterThan">
      <formula>$B$12</formula>
    </cfRule>
  </conditionalFormatting>
  <conditionalFormatting sqref="D8">
    <cfRule type="cellIs" dxfId="536" priority="5" operator="greaterThan">
      <formula>$B$12</formula>
    </cfRule>
  </conditionalFormatting>
  <conditionalFormatting sqref="C9">
    <cfRule type="cellIs" dxfId="535" priority="4" operator="greaterThan">
      <formula>$B$12</formula>
    </cfRule>
  </conditionalFormatting>
  <conditionalFormatting sqref="D9">
    <cfRule type="cellIs" dxfId="534" priority="3" operator="greaterThan">
      <formula>$B$12</formula>
    </cfRule>
  </conditionalFormatting>
  <conditionalFormatting sqref="C10">
    <cfRule type="cellIs" dxfId="533" priority="2" operator="greaterThan">
      <formula>$B$12</formula>
    </cfRule>
  </conditionalFormatting>
  <conditionalFormatting sqref="D10">
    <cfRule type="cellIs" dxfId="532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.10937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4" t="s">
        <v>59</v>
      </c>
      <c r="B3" s="430">
        <v>1.2</v>
      </c>
      <c r="C3" s="430"/>
      <c r="D3" s="431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138.5640646055102</v>
      </c>
      <c r="C6" s="17">
        <f>(((SQRT(C5)*$B$3)/SQRT(3))*$C$15)/$A6</f>
        <v>240</v>
      </c>
      <c r="D6" s="17">
        <f>(((SQRT(D5)*$B$3)/SQRT(3))*$C$15)/$A6</f>
        <v>339.41125496954282</v>
      </c>
      <c r="F6" s="106" t="str">
        <f>_1799b</f>
        <v>Lechler</v>
      </c>
      <c r="G6" s="106" t="str">
        <f>_1799c</f>
        <v>IDKN 120 03</v>
      </c>
      <c r="H6" s="132">
        <f>_1799h</f>
        <v>1</v>
      </c>
      <c r="I6" s="42" t="str">
        <f>IF(H6="","","bis")</f>
        <v>bis</v>
      </c>
      <c r="J6" s="19">
        <f>_1799i</f>
        <v>3</v>
      </c>
      <c r="K6" s="20">
        <f>(((SQRT($H6)*$B$3)/SQRT(3))*60000)/($B$12*$B$15)</f>
        <v>2.7712812921102037</v>
      </c>
      <c r="L6" s="42" t="str">
        <f>IF(K6="","","bis")</f>
        <v>bis</v>
      </c>
      <c r="M6" s="18">
        <f>(((SQRT($J6)*$B$3)/SQRT(3))*60000)/($B$12*$B$15)</f>
        <v>4.8</v>
      </c>
      <c r="N6" s="19">
        <f>_1799j</f>
        <v>1</v>
      </c>
      <c r="O6" s="42" t="str">
        <f>IF(N6="","","bis")</f>
        <v>bis</v>
      </c>
      <c r="P6" s="18">
        <f>_1799k</f>
        <v>1.5</v>
      </c>
      <c r="Q6" s="20">
        <f>(((SQRT($N6)*$B$3)/SQRT(3))*60000)/($B$12*$B$15)</f>
        <v>2.7712812921102037</v>
      </c>
      <c r="R6" s="42" t="str">
        <f>IF(Q6="","","bis")</f>
        <v>bis</v>
      </c>
      <c r="S6" s="18">
        <f>(((SQRT($P6)*$B$3)/SQRT(3))*60000)/($B$12*$B$15)</f>
        <v>3.3941125496954281</v>
      </c>
      <c r="T6" s="20">
        <f>_1799l</f>
        <v>1</v>
      </c>
      <c r="U6" s="42" t="str">
        <f>IF(T6="","","bis")</f>
        <v>bis</v>
      </c>
      <c r="V6" s="19">
        <f>_1799m</f>
        <v>1</v>
      </c>
      <c r="W6" s="20">
        <f>(((SQRT($T6)*$B$3)/SQRT(3))*60000)/($B$12*$B$15)</f>
        <v>2.7712812921102037</v>
      </c>
      <c r="X6" s="42" t="str">
        <f>IF(W6="","","bis")</f>
        <v>bis</v>
      </c>
      <c r="Y6" s="19">
        <f>(((SQRT($V6)*$B$3)/SQRT(3))*60000)/($B$12*$B$15)</f>
        <v>2.7712812921102037</v>
      </c>
      <c r="Z6" s="133">
        <f>_1799f</f>
        <v>1</v>
      </c>
      <c r="AA6" s="42" t="str">
        <f>IF(Z6="","","bis")</f>
        <v>bis</v>
      </c>
      <c r="AB6" s="134">
        <f>_1799g</f>
        <v>6</v>
      </c>
    </row>
    <row r="7" spans="1:28" ht="18" thickBot="1" x14ac:dyDescent="0.35">
      <c r="A7" s="21">
        <v>7</v>
      </c>
      <c r="B7" s="17">
        <f>(((SQRT(B5)*$B$3)/SQRT(3))*$C$15)/$A7</f>
        <v>118.76919823329445</v>
      </c>
      <c r="C7" s="17">
        <f>(((SQRT(C5)*$B$3)/SQRT(3))*$C$15)/$A7</f>
        <v>205.71428571428572</v>
      </c>
      <c r="D7" s="17">
        <f>(((SQRT(D5)*$B$3)/SQRT(3))*$C$15)/$A7</f>
        <v>290.92393283103672</v>
      </c>
      <c r="F7" s="106" t="str">
        <f>_2190b</f>
        <v>Hardi</v>
      </c>
      <c r="G7" s="106" t="str">
        <f>_2190c</f>
        <v>NanoDrift ND 03</v>
      </c>
      <c r="H7" s="132">
        <f>_2190h</f>
        <v>1</v>
      </c>
      <c r="I7" s="42" t="str">
        <f>IF(H7="","","bis")</f>
        <v>bis</v>
      </c>
      <c r="J7" s="18">
        <f>_2190i</f>
        <v>6</v>
      </c>
      <c r="K7" s="20">
        <f>(((SQRT($H7)*$B$3)/SQRT(3))*60000)/($B$12*$B$15)</f>
        <v>2.7712812921102037</v>
      </c>
      <c r="L7" s="42" t="str">
        <f>IF(K7="","","bis")</f>
        <v>bis</v>
      </c>
      <c r="M7" s="18">
        <f>(((SQRT($J7)*$B$3)/SQRT(3))*60000)/($B$12*$B$15)</f>
        <v>6.7882250993908562</v>
      </c>
      <c r="N7" s="20">
        <f>_2190j</f>
        <v>1</v>
      </c>
      <c r="O7" s="42" t="str">
        <f>IF(N7="","","bis")</f>
        <v>bis</v>
      </c>
      <c r="P7" s="18">
        <f>_2190k</f>
        <v>2</v>
      </c>
      <c r="Q7" s="20">
        <f>(((SQRT($N7)*$B$3)/SQRT(3))*60000)/($B$12*$B$15)</f>
        <v>2.7712812921102037</v>
      </c>
      <c r="R7" s="42" t="str">
        <f>IF(Q7="","","bis")</f>
        <v>bis</v>
      </c>
      <c r="S7" s="18">
        <f>(((SQRT($P7)*$B$3)/SQRT(3))*60000)/($B$12*$B$15)</f>
        <v>3.9191835884530852</v>
      </c>
      <c r="T7" s="20">
        <f>_2190l</f>
        <v>1</v>
      </c>
      <c r="U7" s="42" t="str">
        <f>IF(T7="","","bis")</f>
        <v>bis</v>
      </c>
      <c r="V7" s="18">
        <f>_2190m</f>
        <v>1</v>
      </c>
      <c r="W7" s="20">
        <f>(((SQRT($T7)*$B$3)/SQRT(3))*60000)/($B$12*$B$15)</f>
        <v>2.7712812921102037</v>
      </c>
      <c r="X7" s="42" t="str">
        <f>IF(W7="","","bis")</f>
        <v>bis</v>
      </c>
      <c r="Y7" s="18">
        <f>(((SQRT($V7)*$B$3)/SQRT(3))*60000)/($B$12*$B$15)</f>
        <v>2.7712812921102037</v>
      </c>
      <c r="Z7" s="133">
        <f>_2190f</f>
        <v>1</v>
      </c>
      <c r="AA7" s="42" t="str">
        <f>IF(Z7="","","bis")</f>
        <v>bis</v>
      </c>
      <c r="AB7" s="134">
        <f>_2190g</f>
        <v>6</v>
      </c>
    </row>
    <row r="8" spans="1:28" ht="18" thickBot="1" x14ac:dyDescent="0.35">
      <c r="A8" s="21">
        <v>8</v>
      </c>
      <c r="B8" s="17">
        <f>(((SQRT(B5)*$B$3)/SQRT(3))*$C$15)/$A8</f>
        <v>103.92304845413264</v>
      </c>
      <c r="C8" s="17">
        <f>(((SQRT(C5)*$B$3)/SQRT(3))*1200)/$A8</f>
        <v>180</v>
      </c>
      <c r="D8" s="17">
        <f>(((SQRT(D5)*$B$3)/SQRT(3))*1200)/$A8</f>
        <v>254.55844122715712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92.376043070340131</v>
      </c>
      <c r="C9" s="17">
        <f>(((SQRT(C5)*$B$3)/SQRT(3))*$C$15)/$A9</f>
        <v>160</v>
      </c>
      <c r="D9" s="17">
        <f>(((SQRT(D5)*$B$3)/SQRT(3))*$C$15)/$A9</f>
        <v>226.27416997969522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83.138438763306112</v>
      </c>
      <c r="C10" s="27">
        <f>(((SQRT(C5)*$B$3)/SQRT(3))*$C$15)/$A10</f>
        <v>144</v>
      </c>
      <c r="D10" s="27">
        <f>(((SQRT(D5)*$B$3)/SQRT(3))*$C$15)/$A10</f>
        <v>203.64675298172568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300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4.6875000000000009</v>
      </c>
      <c r="C13" s="26">
        <f>(B12*B14*B15)/60000</f>
        <v>1.5</v>
      </c>
      <c r="D13" s="25">
        <f>POWER(((SQRT(3)*$E$13)/$B$3),2)</f>
        <v>16.724537037037038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6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SdHz8J0QfeW8gsh6Bp/U6CruuLZgl+ysnoNMOqMnNIaika/i7eREO5YYXQSUQ442Tj9LowCaKWEgh12KwGwlFw==" saltValue="wkHWNNsppUPnJK+gKEEIig==" spinCount="100000" sheet="1" objects="1" scenarios="1"/>
  <mergeCells count="11">
    <mergeCell ref="Z4:AB5"/>
    <mergeCell ref="B3:D3"/>
    <mergeCell ref="H4:M4"/>
    <mergeCell ref="N4:S4"/>
    <mergeCell ref="T4:Y4"/>
    <mergeCell ref="H5:J5"/>
    <mergeCell ref="K5:M5"/>
    <mergeCell ref="N5:P5"/>
    <mergeCell ref="Q5:S5"/>
    <mergeCell ref="T5:V5"/>
    <mergeCell ref="W5:Y5"/>
  </mergeCells>
  <conditionalFormatting sqref="B9">
    <cfRule type="cellIs" dxfId="531" priority="8" operator="greaterThan">
      <formula>$B$12</formula>
    </cfRule>
  </conditionalFormatting>
  <conditionalFormatting sqref="C6">
    <cfRule type="cellIs" dxfId="530" priority="14" operator="greaterThan">
      <formula>$B$12</formula>
    </cfRule>
  </conditionalFormatting>
  <conditionalFormatting sqref="B6">
    <cfRule type="cellIs" dxfId="529" priority="21" operator="greaterThan">
      <formula>$B$12</formula>
    </cfRule>
  </conditionalFormatting>
  <conditionalFormatting sqref="B7">
    <cfRule type="cellIs" dxfId="528" priority="12" operator="greaterThan">
      <formula>$B$12</formula>
    </cfRule>
  </conditionalFormatting>
  <conditionalFormatting sqref="D10">
    <cfRule type="cellIs" dxfId="527" priority="1" operator="greaterThan">
      <formula>$B$12</formula>
    </cfRule>
  </conditionalFormatting>
  <conditionalFormatting sqref="D6">
    <cfRule type="cellIs" dxfId="526" priority="13" operator="greaterThan">
      <formula>$B$12</formula>
    </cfRule>
  </conditionalFormatting>
  <conditionalFormatting sqref="C7">
    <cfRule type="cellIs" dxfId="525" priority="11" operator="greaterThan">
      <formula>$B$12</formula>
    </cfRule>
  </conditionalFormatting>
  <conditionalFormatting sqref="D7">
    <cfRule type="cellIs" dxfId="524" priority="10" operator="greaterThan">
      <formula>$B$12</formula>
    </cfRule>
  </conditionalFormatting>
  <conditionalFormatting sqref="B8">
    <cfRule type="cellIs" dxfId="523" priority="9" operator="greaterThan">
      <formula>$B$12</formula>
    </cfRule>
  </conditionalFormatting>
  <conditionalFormatting sqref="B10">
    <cfRule type="cellIs" dxfId="522" priority="7" operator="greaterThan">
      <formula>$B$12</formula>
    </cfRule>
  </conditionalFormatting>
  <conditionalFormatting sqref="C8">
    <cfRule type="cellIs" dxfId="521" priority="6" operator="greaterThan">
      <formula>$B$12</formula>
    </cfRule>
  </conditionalFormatting>
  <conditionalFormatting sqref="D8">
    <cfRule type="cellIs" dxfId="520" priority="5" operator="greaterThan">
      <formula>$B$12</formula>
    </cfRule>
  </conditionalFormatting>
  <conditionalFormatting sqref="C9">
    <cfRule type="cellIs" dxfId="519" priority="4" operator="greaterThan">
      <formula>$B$12</formula>
    </cfRule>
  </conditionalFormatting>
  <conditionalFormatting sqref="D9">
    <cfRule type="cellIs" dxfId="518" priority="3" operator="greaterThan">
      <formula>$B$12</formula>
    </cfRule>
  </conditionalFormatting>
  <conditionalFormatting sqref="C10">
    <cfRule type="cellIs" dxfId="51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7.332031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4" t="s">
        <v>59</v>
      </c>
      <c r="B3" s="430">
        <v>1.2</v>
      </c>
      <c r="C3" s="430"/>
      <c r="D3" s="431"/>
      <c r="E3" s="11" t="s">
        <v>135</v>
      </c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277.12812921102039</v>
      </c>
      <c r="C6" s="17">
        <f>(((SQRT(C5)*$B$3)/SQRT(3))*$C$15)/$A6</f>
        <v>480</v>
      </c>
      <c r="D6" s="17">
        <f>(((SQRT(D5)*$B$3)/SQRT(3))*$C$15)/$A6</f>
        <v>678.82250993908565</v>
      </c>
      <c r="F6" s="106"/>
      <c r="G6" s="106"/>
      <c r="H6" s="132"/>
      <c r="I6" s="42" t="str">
        <f>IF(H6="","","bis")</f>
        <v/>
      </c>
      <c r="J6" s="19"/>
      <c r="K6" s="20">
        <f>(((SQRT($H6)*$B$3)/SQRT(3))*60000)/($B$12*$B$15)</f>
        <v>0</v>
      </c>
      <c r="L6" s="42" t="str">
        <f>IF(K6="","","bis")</f>
        <v>bis</v>
      </c>
      <c r="M6" s="18">
        <f>(((SQRT($J6)*$B$3)/SQRT(3))*60000)/($B$12*$B$15)</f>
        <v>0</v>
      </c>
      <c r="N6" s="19"/>
      <c r="O6" s="42" t="str">
        <f>IF(N6="","","bis")</f>
        <v/>
      </c>
      <c r="P6" s="18"/>
      <c r="Q6" s="20">
        <f>(((SQRT($N6)*$B$3)/SQRT(3))*60000)/($B$12*$B$15)</f>
        <v>0</v>
      </c>
      <c r="R6" s="42" t="str">
        <f>IF(Q6="","","bis")</f>
        <v>bis</v>
      </c>
      <c r="S6" s="18">
        <f>(((SQRT($P6)*$B$3)/SQRT(3))*60000)/($B$12*$B$15)</f>
        <v>0</v>
      </c>
      <c r="T6" s="20"/>
      <c r="U6" s="42" t="str">
        <f>IF(T6="","","bis")</f>
        <v/>
      </c>
      <c r="V6" s="19"/>
      <c r="W6" s="20">
        <f>(((SQRT($T6)*$B$3)/SQRT(3))*60000)/($B$12*$B$15)</f>
        <v>0</v>
      </c>
      <c r="X6" s="42" t="str">
        <f>IF(W6="","","bis")</f>
        <v>bis</v>
      </c>
      <c r="Y6" s="19">
        <f>(((SQRT($V6)*$B$3)/SQRT(3))*60000)/($B$12*$B$15)</f>
        <v>0</v>
      </c>
      <c r="Z6" s="133"/>
      <c r="AA6" s="42" t="str">
        <f>IF(Z6="","","bis")</f>
        <v/>
      </c>
      <c r="AB6" s="134"/>
    </row>
    <row r="7" spans="1:28" ht="18" thickBot="1" x14ac:dyDescent="0.35">
      <c r="A7" s="21">
        <v>7</v>
      </c>
      <c r="B7" s="17">
        <f>(((SQRT(B5)*$B$3)/SQRT(3))*$C$15)/$A7</f>
        <v>237.53839646658889</v>
      </c>
      <c r="C7" s="17">
        <f>(((SQRT(C5)*$B$3)/SQRT(3))*$C$15)/$A7</f>
        <v>411.42857142857144</v>
      </c>
      <c r="D7" s="17">
        <f>(((SQRT(D5)*$B$3)/SQRT(3))*$C$15)/$A7</f>
        <v>581.84786566207345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207.84609690826528</v>
      </c>
      <c r="C8" s="17">
        <f>(((SQRT(C5)*$B$3)/SQRT(3))*1200)/$A8</f>
        <v>180</v>
      </c>
      <c r="D8" s="17">
        <f>(((SQRT(D5)*$B$3)/SQRT(3))*1200)/$A8</f>
        <v>254.55844122715712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184.75208614068026</v>
      </c>
      <c r="C9" s="17">
        <f>(((SQRT(C5)*$B$3)/SQRT(3))*$C$15)/$A9</f>
        <v>320</v>
      </c>
      <c r="D9" s="17">
        <f>(((SQRT(D5)*$B$3)/SQRT(3))*$C$15)/$A9</f>
        <v>452.54833995939043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166.27687752661222</v>
      </c>
      <c r="C10" s="27">
        <f>(((SQRT(C5)*$B$3)/SQRT(3))*$C$15)/$A10</f>
        <v>288</v>
      </c>
      <c r="D10" s="27">
        <f>(((SQRT(D5)*$B$3)/SQRT(3))*$C$15)/$A10</f>
        <v>407.29350596345137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</row>
    <row r="13" spans="1:28" ht="18" thickBot="1" x14ac:dyDescent="0.35">
      <c r="A13" s="23" t="s">
        <v>57</v>
      </c>
      <c r="B13" s="25">
        <f>POWER(((SQRT(3)*$C$13)/$B$3),2)</f>
        <v>0.52083333333333326</v>
      </c>
      <c r="C13" s="26">
        <f>(B12*B14*B15)/60000</f>
        <v>0.5</v>
      </c>
    </row>
    <row r="14" spans="1:28" ht="18" thickBot="1" x14ac:dyDescent="0.35">
      <c r="A14" s="23" t="s">
        <v>58</v>
      </c>
      <c r="B14" s="9">
        <v>6</v>
      </c>
    </row>
    <row r="15" spans="1:28" ht="18" thickBot="1" x14ac:dyDescent="0.35">
      <c r="A15" s="23" t="s">
        <v>61</v>
      </c>
      <c r="B15" s="29">
        <v>25</v>
      </c>
      <c r="C15" s="26">
        <f>(60000/B15)</f>
        <v>2400</v>
      </c>
    </row>
  </sheetData>
  <sheetProtection algorithmName="SHA-512" hashValue="0WgRvGpVEuLpscE1Zfqyu7850mbFLIE6zyQC5sJEkeURRgRerXXMkWiu+WHWyM5dIyGODPDHKDGrm8/+UXF2Rg==" saltValue="kmowphCoROO//FXEXRhMbQ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516" priority="8" operator="greaterThan">
      <formula>$B$12</formula>
    </cfRule>
  </conditionalFormatting>
  <conditionalFormatting sqref="C6">
    <cfRule type="cellIs" dxfId="515" priority="14" operator="greaterThan">
      <formula>$B$12</formula>
    </cfRule>
  </conditionalFormatting>
  <conditionalFormatting sqref="B6">
    <cfRule type="cellIs" dxfId="514" priority="15" operator="greaterThan">
      <formula>$B$12</formula>
    </cfRule>
  </conditionalFormatting>
  <conditionalFormatting sqref="B7">
    <cfRule type="cellIs" dxfId="513" priority="12" operator="greaterThan">
      <formula>$B$12</formula>
    </cfRule>
  </conditionalFormatting>
  <conditionalFormatting sqref="D10">
    <cfRule type="cellIs" dxfId="512" priority="1" operator="greaterThan">
      <formula>$B$12</formula>
    </cfRule>
  </conditionalFormatting>
  <conditionalFormatting sqref="D6">
    <cfRule type="cellIs" dxfId="511" priority="13" operator="greaterThan">
      <formula>$B$12</formula>
    </cfRule>
  </conditionalFormatting>
  <conditionalFormatting sqref="C7">
    <cfRule type="cellIs" dxfId="510" priority="11" operator="greaterThan">
      <formula>$B$12</formula>
    </cfRule>
  </conditionalFormatting>
  <conditionalFormatting sqref="D7">
    <cfRule type="cellIs" dxfId="509" priority="10" operator="greaterThan">
      <formula>$B$12</formula>
    </cfRule>
  </conditionalFormatting>
  <conditionalFormatting sqref="B8">
    <cfRule type="cellIs" dxfId="508" priority="9" operator="greaterThan">
      <formula>$B$12</formula>
    </cfRule>
  </conditionalFormatting>
  <conditionalFormatting sqref="B10">
    <cfRule type="cellIs" dxfId="507" priority="7" operator="greaterThan">
      <formula>$B$12</formula>
    </cfRule>
  </conditionalFormatting>
  <conditionalFormatting sqref="C8">
    <cfRule type="cellIs" dxfId="506" priority="6" operator="greaterThan">
      <formula>$B$12</formula>
    </cfRule>
  </conditionalFormatting>
  <conditionalFormatting sqref="D8">
    <cfRule type="cellIs" dxfId="505" priority="5" operator="greaterThan">
      <formula>$B$12</formula>
    </cfRule>
  </conditionalFormatting>
  <conditionalFormatting sqref="C9">
    <cfRule type="cellIs" dxfId="504" priority="4" operator="greaterThan">
      <formula>$B$12</formula>
    </cfRule>
  </conditionalFormatting>
  <conditionalFormatting sqref="D9">
    <cfRule type="cellIs" dxfId="503" priority="3" operator="greaterThan">
      <formula>$B$12</formula>
    </cfRule>
  </conditionalFormatting>
  <conditionalFormatting sqref="C10">
    <cfRule type="cellIs" dxfId="50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0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4" t="s">
        <v>59</v>
      </c>
      <c r="B3" s="430">
        <v>1.2</v>
      </c>
      <c r="C3" s="430"/>
      <c r="D3" s="431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195.95917942265427</v>
      </c>
      <c r="C6" s="17">
        <f>(((SQRT(C5)*$B$3)/SQRT(3))*$C$15)/$A6</f>
        <v>309.83866769659335</v>
      </c>
      <c r="D6" s="17">
        <f>(((SQRT(D5)*$B$3)/SQRT(3))*$C$15)/$A6</f>
        <v>391.91835884530855</v>
      </c>
      <c r="F6" s="106" t="str">
        <f>_2293b</f>
        <v>Agrotop</v>
      </c>
      <c r="G6" s="106" t="str">
        <f>_2293c</f>
        <v>AVI-UC 110 03</v>
      </c>
      <c r="H6" s="132">
        <f>_2293h</f>
        <v>3</v>
      </c>
      <c r="I6" s="42" t="str">
        <f>IF(H6="","","bis")</f>
        <v>bis</v>
      </c>
      <c r="J6" s="19">
        <f>_2293i</f>
        <v>5</v>
      </c>
      <c r="K6" s="20">
        <f>(((SQRT($H6)*$B$3)/SQRT(3))*60000)/($B$12*$B$15)</f>
        <v>7.2</v>
      </c>
      <c r="L6" s="42" t="str">
        <f>IF(K6="","","bis")</f>
        <v>bis</v>
      </c>
      <c r="M6" s="18">
        <f>(((SQRT($J6)*$B$3)/SQRT(3))*60000)/($B$12*$B$15)</f>
        <v>9.2951600308978009</v>
      </c>
      <c r="N6" s="19">
        <f>_2293j</f>
        <v>3</v>
      </c>
      <c r="O6" s="42" t="str">
        <f>IF(N6="","","bis")</f>
        <v>bis</v>
      </c>
      <c r="P6" s="18">
        <f>_2293k</f>
        <v>4</v>
      </c>
      <c r="Q6" s="20">
        <f>(((SQRT($N6)*$B$3)/SQRT(3))*60000)/($B$12*$B$15)</f>
        <v>7.2</v>
      </c>
      <c r="R6" s="42" t="str">
        <f>IF(Q6="","","bis")</f>
        <v>bis</v>
      </c>
      <c r="S6" s="18">
        <f>(((SQRT($P6)*$B$3)/SQRT(3))*60000)/($B$12*$B$15)</f>
        <v>8.3138438763306119</v>
      </c>
      <c r="T6" s="20">
        <f>_2293l</f>
        <v>3</v>
      </c>
      <c r="U6" s="42" t="str">
        <f>IF(T6="","","bis")</f>
        <v>bis</v>
      </c>
      <c r="V6" s="19">
        <f>_2293m</f>
        <v>3</v>
      </c>
      <c r="W6" s="20">
        <f>(((SQRT($T6)*$B$3)/SQRT(3))*60000)/($B$12*$B$15)</f>
        <v>7.2</v>
      </c>
      <c r="X6" s="42" t="str">
        <f>IF(W6="","","bis")</f>
        <v>bis</v>
      </c>
      <c r="Y6" s="19">
        <f>(((SQRT($V6)*$B$3)/SQRT(3))*60000)/($B$12*$B$15)</f>
        <v>7.2</v>
      </c>
      <c r="Z6" s="133">
        <f>_2293f</f>
        <v>3</v>
      </c>
      <c r="AA6" s="42" t="str">
        <f>IF(Z6="","","bis")</f>
        <v>bis</v>
      </c>
      <c r="AB6" s="134">
        <f>_2293g</f>
        <v>7</v>
      </c>
    </row>
    <row r="7" spans="1:28" ht="18" thickBot="1" x14ac:dyDescent="0.35">
      <c r="A7" s="21">
        <v>7</v>
      </c>
      <c r="B7" s="17">
        <f>(((SQRT(B5)*$B$3)/SQRT(3))*$C$15)/$A7</f>
        <v>167.96501093370367</v>
      </c>
      <c r="C7" s="17">
        <f>(((SQRT(C5)*$B$3)/SQRT(3))*$C$15)/$A7</f>
        <v>265.57600088279429</v>
      </c>
      <c r="D7" s="17">
        <f>(((SQRT(D5)*$B$3)/SQRT(3))*$C$15)/$A7</f>
        <v>335.93002186740733</v>
      </c>
      <c r="F7" s="106" t="str">
        <f>_1968b</f>
        <v>Lechler</v>
      </c>
      <c r="G7" s="106" t="str">
        <f>_1968c</f>
        <v>ID (3) 120 03</v>
      </c>
      <c r="H7" s="132">
        <f>_1968h</f>
        <v>2</v>
      </c>
      <c r="I7" s="42" t="str">
        <f>IF(H7="","","bis")</f>
        <v>bis</v>
      </c>
      <c r="J7" s="19">
        <f>_1968i</f>
        <v>8</v>
      </c>
      <c r="K7" s="20">
        <f>(((SQRT($H7)*$B$3)/SQRT(3))*60000)/($B$12*$B$15)</f>
        <v>5.8787753826796285</v>
      </c>
      <c r="L7" s="42" t="str">
        <f>IF(K7="","","bis")</f>
        <v>bis</v>
      </c>
      <c r="M7" s="18">
        <f>(((SQRT($J7)*$B$3)/SQRT(3))*60000)/($B$12*$B$15)</f>
        <v>11.757550765359257</v>
      </c>
      <c r="N7" s="19">
        <f>_1968j</f>
        <v>2</v>
      </c>
      <c r="O7" s="42" t="str">
        <f>IF(N7="","","bis")</f>
        <v>bis</v>
      </c>
      <c r="P7" s="18">
        <f>_1968k</f>
        <v>4</v>
      </c>
      <c r="Q7" s="20">
        <f>(((SQRT($N7)*$B$3)/SQRT(3))*60000)/($B$12*$B$15)</f>
        <v>5.8787753826796285</v>
      </c>
      <c r="R7" s="42" t="str">
        <f>IF(Q7="","","bis")</f>
        <v>bis</v>
      </c>
      <c r="S7" s="18">
        <f>(((SQRT($P7)*$B$3)/SQRT(3))*60000)/($B$12*$B$15)</f>
        <v>8.3138438763306119</v>
      </c>
      <c r="T7" s="20">
        <f>_1968l</f>
        <v>2</v>
      </c>
      <c r="U7" s="42" t="str">
        <f>IF(T7="","","bis")</f>
        <v>bis</v>
      </c>
      <c r="V7" s="19">
        <f>_1968m</f>
        <v>3</v>
      </c>
      <c r="W7" s="20">
        <f>(((SQRT($T7)*$B$3)/SQRT(3))*60000)/($B$12*$B$15)</f>
        <v>5.8787753826796285</v>
      </c>
      <c r="X7" s="42" t="str">
        <f>IF(W7="","","bis")</f>
        <v>bis</v>
      </c>
      <c r="Y7" s="18">
        <f>(((SQRT($V7)*$B$3)/SQRT(3))*60000)/($B$12*$B$15)</f>
        <v>7.2</v>
      </c>
      <c r="Z7" s="133">
        <f>_1968f</f>
        <v>2</v>
      </c>
      <c r="AA7" s="42" t="str">
        <f>IF(Z7="","","bis")</f>
        <v>bis</v>
      </c>
      <c r="AB7" s="134">
        <f>_1968g</f>
        <v>8</v>
      </c>
    </row>
    <row r="8" spans="1:28" ht="18" thickBot="1" x14ac:dyDescent="0.35">
      <c r="A8" s="21">
        <v>8</v>
      </c>
      <c r="B8" s="17">
        <f>(((SQRT(B5)*$B$3)/SQRT(3))*$C$15)/$A8</f>
        <v>146.9693845669907</v>
      </c>
      <c r="C8" s="17">
        <f>(((SQRT(C5)*$B$3)/SQRT(3))*1200)/$A8</f>
        <v>232.37900077244501</v>
      </c>
      <c r="D8" s="17">
        <f>(((SQRT(D5)*$B$3)/SQRT(3))*1200)/$A8</f>
        <v>293.9387691339814</v>
      </c>
      <c r="F8" s="106" t="str">
        <f>_2205b</f>
        <v>Lechler</v>
      </c>
      <c r="G8" s="106" t="str">
        <f>_2205c</f>
        <v>PSULDCQ2003</v>
      </c>
      <c r="H8" s="132">
        <f>_2205h</f>
        <v>2</v>
      </c>
      <c r="I8" s="42" t="str">
        <f>IF(H8="","","bis")</f>
        <v>bis</v>
      </c>
      <c r="J8" s="18">
        <f>_2205i</f>
        <v>8</v>
      </c>
      <c r="K8" s="20">
        <f>(((SQRT($H8)*$B$3)/SQRT(3))*60000)/($B$12*$B$15)</f>
        <v>5.8787753826796285</v>
      </c>
      <c r="L8" s="42" t="str">
        <f>IF(K8="","","bis")</f>
        <v>bis</v>
      </c>
      <c r="M8" s="18">
        <f>(((SQRT($J8)*$B$3)/SQRT(3))*60000)/($B$12*$B$15)</f>
        <v>11.757550765359257</v>
      </c>
      <c r="N8" s="20">
        <f>_2205j</f>
        <v>2</v>
      </c>
      <c r="O8" s="42" t="str">
        <f>IF(N8="","","bis")</f>
        <v>bis</v>
      </c>
      <c r="P8" s="18">
        <f>_2205k</f>
        <v>4</v>
      </c>
      <c r="Q8" s="20">
        <f>(((SQRT($N8)*$B$3)/SQRT(3))*60000)/($B$12*$B$15)</f>
        <v>5.8787753826796285</v>
      </c>
      <c r="R8" s="42" t="str">
        <f>IF(Q8="","","bis")</f>
        <v>bis</v>
      </c>
      <c r="S8" s="18">
        <f>(((SQRT($P8)*$B$3)/SQRT(3))*60000)/($B$12*$B$15)</f>
        <v>8.3138438763306119</v>
      </c>
      <c r="T8" s="20">
        <f>_2205l</f>
        <v>2</v>
      </c>
      <c r="U8" s="42" t="str">
        <f>IF(T8="","","bis")</f>
        <v>bis</v>
      </c>
      <c r="V8" s="18">
        <f>_2205m</f>
        <v>2.5</v>
      </c>
      <c r="W8" s="20">
        <f>(((SQRT($T8)*$B$3)/SQRT(3))*60000)/($B$12*$B$15)</f>
        <v>5.8787753826796285</v>
      </c>
      <c r="X8" s="42" t="str">
        <f>IF(W8="","","bis")</f>
        <v>bis</v>
      </c>
      <c r="Y8" s="18">
        <f>(((SQRT($V8)*$B$3)/SQRT(3))*60000)/($B$12*$B$15)</f>
        <v>6.5726706900619929</v>
      </c>
      <c r="Z8" s="133">
        <f>_2205f</f>
        <v>2</v>
      </c>
      <c r="AA8" s="42" t="str">
        <f>IF(Z8="","","bis")</f>
        <v>bis</v>
      </c>
      <c r="AB8" s="134">
        <f>_2205g</f>
        <v>8</v>
      </c>
    </row>
    <row r="9" spans="1:28" ht="18" thickBot="1" x14ac:dyDescent="0.35">
      <c r="A9" s="21">
        <v>9</v>
      </c>
      <c r="B9" s="17">
        <f>(((SQRT(B5)*$B$3)/SQRT(3))*$C$15)/$A9</f>
        <v>130.63945294843617</v>
      </c>
      <c r="C9" s="17">
        <f>(((SQRT(C5)*$B$3)/SQRT(3))*$C$15)/$A9</f>
        <v>206.55911179772889</v>
      </c>
      <c r="D9" s="17">
        <f>(((SQRT(D5)*$B$3)/SQRT(3))*$C$15)/$A9</f>
        <v>261.27890589687235</v>
      </c>
      <c r="F9" s="106" t="str">
        <f>_1738b</f>
        <v>TeeJet</v>
      </c>
      <c r="G9" s="106" t="str">
        <f>_1738c</f>
        <v>TTI 110 03</v>
      </c>
      <c r="H9" s="132">
        <f>_1738h</f>
        <v>1.5</v>
      </c>
      <c r="I9" s="42" t="str">
        <f>IF(H9="","","bis")</f>
        <v>bis</v>
      </c>
      <c r="J9" s="18">
        <f>_1738i</f>
        <v>5</v>
      </c>
      <c r="K9" s="20">
        <f>(((SQRT($H9)*$B$3)/SQRT(3))*60000)/($B$12*$B$15)</f>
        <v>5.0911688245431419</v>
      </c>
      <c r="L9" s="42" t="str">
        <f>IF(K9="","","bis")</f>
        <v>bis</v>
      </c>
      <c r="M9" s="18">
        <f>(((SQRT($J9)*$B$3)/SQRT(3))*60000)/($B$12*$B$15)</f>
        <v>9.2951600308978009</v>
      </c>
      <c r="N9" s="20">
        <f>_1738j</f>
        <v>1.5</v>
      </c>
      <c r="O9" s="42" t="str">
        <f>IF(N9="","","bis")</f>
        <v>bis</v>
      </c>
      <c r="P9" s="18">
        <f>_1738k</f>
        <v>2.5</v>
      </c>
      <c r="Q9" s="20">
        <f>(((SQRT($N9)*$B$3)/SQRT(3))*60000)/($B$12*$B$15)</f>
        <v>5.0911688245431419</v>
      </c>
      <c r="R9" s="42" t="str">
        <f>IF(Q9="","","bis")</f>
        <v>bis</v>
      </c>
      <c r="S9" s="18">
        <f>(((SQRT($P9)*$B$3)/SQRT(3))*60000)/($B$12*$B$15)</f>
        <v>6.5726706900619929</v>
      </c>
      <c r="T9" s="20">
        <f>_1738l</f>
        <v>1.5</v>
      </c>
      <c r="U9" s="42" t="str">
        <f>IF(T9="","","bis")</f>
        <v>bis</v>
      </c>
      <c r="V9" s="19">
        <f>_1738m</f>
        <v>1.5</v>
      </c>
      <c r="W9" s="20">
        <f>(((SQRT($T9)*$B$3)/SQRT(3))*60000)/($B$12*$B$15)</f>
        <v>5.0911688245431419</v>
      </c>
      <c r="X9" s="42" t="str">
        <f>IF(W9="","","bis")</f>
        <v>bis</v>
      </c>
      <c r="Y9" s="18">
        <f>(((SQRT($V9)*$B$3)/SQRT(3))*60000)/($B$12*$B$15)</f>
        <v>5.0911688245431419</v>
      </c>
      <c r="Z9" s="133">
        <f>_1738f</f>
        <v>1.5</v>
      </c>
      <c r="AA9" s="42" t="str">
        <f>IF(Z9="","","bis")</f>
        <v>bis</v>
      </c>
      <c r="AB9" s="134">
        <f>_1738g</f>
        <v>7</v>
      </c>
    </row>
    <row r="10" spans="1:28" ht="18" thickBot="1" x14ac:dyDescent="0.35">
      <c r="A10" s="22">
        <v>10</v>
      </c>
      <c r="B10" s="27">
        <f>(((SQRT(B5)*$B$3)/SQRT(3))*$C$15)/$A10</f>
        <v>117.57550765359255</v>
      </c>
      <c r="C10" s="27">
        <f>(((SQRT(C5)*$B$3)/SQRT(3))*$C$15)/$A10</f>
        <v>185.903200617956</v>
      </c>
      <c r="D10" s="27">
        <f>(((SQRT(D5)*$B$3)/SQRT(3))*$C$15)/$A10</f>
        <v>235.15101530718511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1.4467592592592591</v>
      </c>
      <c r="C13" s="26">
        <f>(B12*B14*B15)/60000</f>
        <v>0.83333333333333337</v>
      </c>
      <c r="D13" s="25">
        <f>POWER(((SQRT(3)*$E$13)/$B$3),2)</f>
        <v>16.724537037037038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kUFFLHf8Dj2aQ9bx5zIN/Q8OKDj7sLtAAkNybpyPVcE7BQfeFxcE3E/a4E18JrYMmlmMRhDEAEnLnSQDFzrqHQ==" saltValue="qML8HnzM3GD7/YERO16WMQ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501" priority="8" operator="greaterThan">
      <formula>$B$12</formula>
    </cfRule>
  </conditionalFormatting>
  <conditionalFormatting sqref="C6">
    <cfRule type="cellIs" dxfId="500" priority="14" operator="greaterThan">
      <formula>$B$12</formula>
    </cfRule>
  </conditionalFormatting>
  <conditionalFormatting sqref="B6">
    <cfRule type="cellIs" dxfId="499" priority="15" operator="greaterThan">
      <formula>$B$12</formula>
    </cfRule>
  </conditionalFormatting>
  <conditionalFormatting sqref="B7">
    <cfRule type="cellIs" dxfId="498" priority="12" operator="greaterThan">
      <formula>$B$12</formula>
    </cfRule>
  </conditionalFormatting>
  <conditionalFormatting sqref="D10">
    <cfRule type="cellIs" dxfId="497" priority="1" operator="greaterThan">
      <formula>$B$12</formula>
    </cfRule>
  </conditionalFormatting>
  <conditionalFormatting sqref="D6">
    <cfRule type="cellIs" dxfId="496" priority="13" operator="greaterThan">
      <formula>$B$12</formula>
    </cfRule>
  </conditionalFormatting>
  <conditionalFormatting sqref="C7">
    <cfRule type="cellIs" dxfId="495" priority="11" operator="greaterThan">
      <formula>$B$12</formula>
    </cfRule>
  </conditionalFormatting>
  <conditionalFormatting sqref="D7">
    <cfRule type="cellIs" dxfId="494" priority="10" operator="greaterThan">
      <formula>$B$12</formula>
    </cfRule>
  </conditionalFormatting>
  <conditionalFormatting sqref="B8">
    <cfRule type="cellIs" dxfId="493" priority="9" operator="greaterThan">
      <formula>$B$12</formula>
    </cfRule>
  </conditionalFormatting>
  <conditionalFormatting sqref="B10">
    <cfRule type="cellIs" dxfId="492" priority="7" operator="greaterThan">
      <formula>$B$12</formula>
    </cfRule>
  </conditionalFormatting>
  <conditionalFormatting sqref="C8">
    <cfRule type="cellIs" dxfId="491" priority="6" operator="greaterThan">
      <formula>$B$12</formula>
    </cfRule>
  </conditionalFormatting>
  <conditionalFormatting sqref="D8">
    <cfRule type="cellIs" dxfId="490" priority="5" operator="greaterThan">
      <formula>$B$12</formula>
    </cfRule>
  </conditionalFormatting>
  <conditionalFormatting sqref="C9">
    <cfRule type="cellIs" dxfId="489" priority="4" operator="greaterThan">
      <formula>$B$12</formula>
    </cfRule>
  </conditionalFormatting>
  <conditionalFormatting sqref="D9">
    <cfRule type="cellIs" dxfId="488" priority="3" operator="greaterThan">
      <formula>$B$12</formula>
    </cfRule>
  </conditionalFormatting>
  <conditionalFormatting sqref="C10">
    <cfRule type="cellIs" dxfId="48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6.332031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4" t="s">
        <v>59</v>
      </c>
      <c r="B3" s="430">
        <v>1.2</v>
      </c>
      <c r="C3" s="430"/>
      <c r="D3" s="431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138.5640646055102</v>
      </c>
      <c r="C6" s="17">
        <f>(((SQRT(C5)*$B$3)/SQRT(3))*$C$15)/$A6</f>
        <v>240</v>
      </c>
      <c r="D6" s="17">
        <f>(((SQRT(D5)*$B$3)/SQRT(3))*$C$15)/$A6</f>
        <v>339.41125496954282</v>
      </c>
      <c r="F6" s="106" t="str">
        <f>_1903b</f>
        <v>Agrotop</v>
      </c>
      <c r="G6" s="106" t="str">
        <f>_1903c</f>
        <v>CVI Twin 110 03</v>
      </c>
      <c r="H6" s="132">
        <f>_1903h</f>
        <v>1.5</v>
      </c>
      <c r="I6" s="42" t="str">
        <f>IF(H6="","","bis")</f>
        <v>bis</v>
      </c>
      <c r="J6" s="19">
        <f>_1903i</f>
        <v>6</v>
      </c>
      <c r="K6" s="20">
        <f>(((SQRT($H6)*$B$3)/SQRT(3))*60000)/($B$12*$B$15)</f>
        <v>5.0911688245431419</v>
      </c>
      <c r="L6" s="42" t="str">
        <f>IF(K6="","","bis")</f>
        <v>bis</v>
      </c>
      <c r="M6" s="18">
        <f>(((SQRT($J6)*$B$3)/SQRT(3))*60000)/($B$12*$B$15)</f>
        <v>10.182337649086284</v>
      </c>
      <c r="N6" s="19">
        <f>_1903j</f>
        <v>1.5</v>
      </c>
      <c r="O6" s="42" t="str">
        <f>IF(N6="","","bis")</f>
        <v>bis</v>
      </c>
      <c r="P6" s="18">
        <f>_1903k</f>
        <v>2</v>
      </c>
      <c r="Q6" s="20">
        <f>(((SQRT($N6)*$B$3)/SQRT(3))*60000)/($B$12*$B$15)</f>
        <v>5.0911688245431419</v>
      </c>
      <c r="R6" s="42" t="str">
        <f>IF(Q6="","","bis")</f>
        <v>bis</v>
      </c>
      <c r="S6" s="18">
        <f>(((SQRT($P6)*$B$3)/SQRT(3))*60000)/($B$12*$B$15)</f>
        <v>5.8787753826796285</v>
      </c>
      <c r="T6" s="20">
        <f>_1903l</f>
        <v>1.5</v>
      </c>
      <c r="U6" s="42" t="str">
        <f>IF(T6="","","bis")</f>
        <v>bis</v>
      </c>
      <c r="V6" s="19">
        <f>_1903m</f>
        <v>1.5</v>
      </c>
      <c r="W6" s="20">
        <f>(((SQRT($T6)*$B$3)/SQRT(3))*60000)/($B$12*$B$15)</f>
        <v>5.0911688245431419</v>
      </c>
      <c r="X6" s="42" t="str">
        <f>IF(W6="","","bis")</f>
        <v>bis</v>
      </c>
      <c r="Y6" s="19">
        <f>(((SQRT($V6)*$B$3)/SQRT(3))*60000)/($B$12*$B$15)</f>
        <v>5.0911688245431419</v>
      </c>
      <c r="Z6" s="133">
        <f>_1903f</f>
        <v>1.5</v>
      </c>
      <c r="AA6" s="42" t="str">
        <f>IF(Z6="","","bis")</f>
        <v>bis</v>
      </c>
      <c r="AB6" s="134">
        <f>_1903g</f>
        <v>6</v>
      </c>
    </row>
    <row r="7" spans="1:28" ht="18" thickBot="1" x14ac:dyDescent="0.35">
      <c r="A7" s="21">
        <v>7</v>
      </c>
      <c r="B7" s="17">
        <f>(((SQRT(B5)*$B$3)/SQRT(3))*$C$15)/$A7</f>
        <v>118.76919823329445</v>
      </c>
      <c r="C7" s="17">
        <f>(((SQRT(C5)*$B$3)/SQRT(3))*$C$15)/$A7</f>
        <v>205.71428571428572</v>
      </c>
      <c r="D7" s="17">
        <f>(((SQRT(D5)*$B$3)/SQRT(3))*$C$15)/$A7</f>
        <v>290.92393283103672</v>
      </c>
      <c r="F7" s="106" t="str">
        <f>_d1892b</f>
        <v>Lechler</v>
      </c>
      <c r="G7" s="106" t="str">
        <f>_d1892c</f>
        <v>IDKT 120 03</v>
      </c>
      <c r="H7" s="132">
        <f>_d1892h</f>
        <v>1</v>
      </c>
      <c r="I7" s="42" t="str">
        <f>IF(H7="","","bis")</f>
        <v>bis</v>
      </c>
      <c r="J7" s="18">
        <f>_d1892i</f>
        <v>4</v>
      </c>
      <c r="K7" s="20">
        <f>(((SQRT($H7)*$B$3)/SQRT(3))*60000)/($B$12*$B$15)</f>
        <v>4.156921938165306</v>
      </c>
      <c r="L7" s="42" t="str">
        <f>IF(K7="","","bis")</f>
        <v>bis</v>
      </c>
      <c r="M7" s="18">
        <f>(((SQRT($J7)*$B$3)/SQRT(3))*60000)/($B$12*$B$15)</f>
        <v>8.3138438763306119</v>
      </c>
      <c r="N7" s="20">
        <f>_d1892j</f>
        <v>1</v>
      </c>
      <c r="O7" s="42" t="str">
        <f>IF(N7="","","bis")</f>
        <v>bis</v>
      </c>
      <c r="P7" s="18">
        <f>_d1892k</f>
        <v>2</v>
      </c>
      <c r="Q7" s="20">
        <f>(((SQRT($N7)*$B$3)/SQRT(3))*60000)/($B$12*$B$15)</f>
        <v>4.156921938165306</v>
      </c>
      <c r="R7" s="42" t="str">
        <f>IF(Q7="","","bis")</f>
        <v>bis</v>
      </c>
      <c r="S7" s="18">
        <f>(((SQRT($P7)*$B$3)/SQRT(3))*60000)/($B$12*$B$15)</f>
        <v>5.8787753826796285</v>
      </c>
      <c r="T7" s="20">
        <f>_d1892l</f>
        <v>1</v>
      </c>
      <c r="U7" s="42" t="str">
        <f>IF(T7="","","bis")</f>
        <v>bis</v>
      </c>
      <c r="V7" s="18">
        <f>_d1892m</f>
        <v>1.5</v>
      </c>
      <c r="W7" s="20">
        <f>(((SQRT($T7)*$B$3)/SQRT(3))*60000)/($B$12*$B$15)</f>
        <v>4.156921938165306</v>
      </c>
      <c r="X7" s="42" t="str">
        <f>IF(W7="","","bis")</f>
        <v>bis</v>
      </c>
      <c r="Y7" s="18">
        <f>(((SQRT($V7)*$B$3)/SQRT(3))*60000)/($B$12*$B$15)</f>
        <v>5.0911688245431419</v>
      </c>
      <c r="Z7" s="133">
        <f>_d1892f</f>
        <v>1</v>
      </c>
      <c r="AA7" s="42" t="str">
        <f>IF(Z7="","","bis")</f>
        <v>bis</v>
      </c>
      <c r="AB7" s="134">
        <f>_d1892m</f>
        <v>1.5</v>
      </c>
    </row>
    <row r="8" spans="1:28" ht="18" thickBot="1" x14ac:dyDescent="0.35">
      <c r="A8" s="21">
        <v>8</v>
      </c>
      <c r="B8" s="17">
        <f>(((SQRT(B5)*$B$3)/SQRT(3))*$C$15)/$A8</f>
        <v>103.92304845413264</v>
      </c>
      <c r="C8" s="17">
        <f>(((SQRT(C5)*$B$3)/SQRT(3))*1200)/$A8</f>
        <v>180</v>
      </c>
      <c r="D8" s="17">
        <f>(((SQRT(D5)*$B$3)/SQRT(3))*1200)/$A8</f>
        <v>254.55844122715712</v>
      </c>
      <c r="F8" s="106" t="str">
        <f>_1907b</f>
        <v>Hardi</v>
      </c>
      <c r="G8" s="106" t="str">
        <f>_1907c</f>
        <v>MiniDrift Duo 110 03</v>
      </c>
      <c r="H8" s="132">
        <f>_1907h</f>
        <v>1</v>
      </c>
      <c r="I8" s="42" t="str">
        <f>IF(H8="","","bis")</f>
        <v>bis</v>
      </c>
      <c r="J8" s="18">
        <f>_1907i</f>
        <v>4</v>
      </c>
      <c r="K8" s="20">
        <f>(((SQRT($H8)*$B$3)/SQRT(3))*60000)/($B$12*$B$15)</f>
        <v>4.156921938165306</v>
      </c>
      <c r="L8" s="42" t="str">
        <f>IF(K8="","","bis")</f>
        <v>bis</v>
      </c>
      <c r="M8" s="18">
        <f>(((SQRT($J8)*$B$3)/SQRT(3))*60000)/($B$12*$B$15)</f>
        <v>8.3138438763306119</v>
      </c>
      <c r="N8" s="20">
        <f>_1907j</f>
        <v>1</v>
      </c>
      <c r="O8" s="42" t="str">
        <f>IF(N8="","","bis")</f>
        <v>bis</v>
      </c>
      <c r="P8" s="18">
        <f>_1907k</f>
        <v>2</v>
      </c>
      <c r="Q8" s="20">
        <f>(((SQRT($N8)*$B$3)/SQRT(3))*60000)/($B$12*$B$15)</f>
        <v>4.156921938165306</v>
      </c>
      <c r="R8" s="42" t="str">
        <f>IF(Q8="","","bis")</f>
        <v>bis</v>
      </c>
      <c r="S8" s="18">
        <f>(((SQRT($P8)*$B$3)/SQRT(3))*60000)/($B$12*$B$15)</f>
        <v>5.8787753826796285</v>
      </c>
      <c r="T8" s="20">
        <f>_1907l</f>
        <v>1</v>
      </c>
      <c r="U8" s="42" t="str">
        <f>IF(T8="","","bis")</f>
        <v>bis</v>
      </c>
      <c r="V8" s="18">
        <f>_1907m</f>
        <v>1.5</v>
      </c>
      <c r="W8" s="20">
        <f>(((SQRT($T8)*$B$3)/SQRT(3))*60000)/($B$12*$B$15)</f>
        <v>4.156921938165306</v>
      </c>
      <c r="X8" s="42" t="str">
        <f>IF(W8="","","bis")</f>
        <v>bis</v>
      </c>
      <c r="Y8" s="18">
        <f>(((SQRT($V8)*$B$3)/SQRT(3))*60000)/($B$12*$B$15)</f>
        <v>5.0911688245431419</v>
      </c>
      <c r="Z8" s="133">
        <f>_1907f</f>
        <v>1</v>
      </c>
      <c r="AA8" s="42" t="str">
        <f>IF(Z8="","","bis")</f>
        <v>bis</v>
      </c>
      <c r="AB8" s="134">
        <f>_1907g</f>
        <v>6</v>
      </c>
    </row>
    <row r="9" spans="1:28" ht="18" thickBot="1" x14ac:dyDescent="0.35">
      <c r="A9" s="21">
        <v>9</v>
      </c>
      <c r="B9" s="17">
        <f>(((SQRT(B5)*$B$3)/SQRT(3))*$C$15)/$A9</f>
        <v>92.376043070340131</v>
      </c>
      <c r="C9" s="17">
        <f>(((SQRT(C5)*$B$3)/SQRT(3))*$C$15)/$A9</f>
        <v>160</v>
      </c>
      <c r="D9" s="17">
        <f>(((SQRT(D5)*$B$3)/SQRT(3))*$C$15)/$A9</f>
        <v>226.27416997969522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83.138438763306112</v>
      </c>
      <c r="C10" s="27">
        <f>(((SQRT(C5)*$B$3)/SQRT(3))*$C$15)/$A10</f>
        <v>144</v>
      </c>
      <c r="D10" s="27">
        <f>(((SQRT(D5)*$B$3)/SQRT(3))*$C$15)/$A10</f>
        <v>203.64675298172568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1.4467592592592591</v>
      </c>
      <c r="C13" s="26">
        <f>(B12*B14*B15)/60000</f>
        <v>0.83333333333333337</v>
      </c>
      <c r="D13" s="25">
        <f>POWER(((SQRT(3)*$E$13)/$B$3),2)</f>
        <v>16.724537037037038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mXLS5FCXAJR9GHs2V70Ob9s+BGUQiGJosG09CoB8oE8W7HLu7UyRcxqx40gPOsj9os6GsM2pMuV8jS+Q8hmFFw==" saltValue="u+rsXNVFZ3iOnObe/nrDTQ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486" priority="8" operator="greaterThan">
      <formula>$B$12</formula>
    </cfRule>
  </conditionalFormatting>
  <conditionalFormatting sqref="C6">
    <cfRule type="cellIs" dxfId="485" priority="14" operator="greaterThan">
      <formula>$B$12</formula>
    </cfRule>
  </conditionalFormatting>
  <conditionalFormatting sqref="B6">
    <cfRule type="cellIs" dxfId="484" priority="15" operator="greaterThan">
      <formula>$B$12</formula>
    </cfRule>
  </conditionalFormatting>
  <conditionalFormatting sqref="B7">
    <cfRule type="cellIs" dxfId="483" priority="12" operator="greaterThan">
      <formula>$B$12</formula>
    </cfRule>
  </conditionalFormatting>
  <conditionalFormatting sqref="D10">
    <cfRule type="cellIs" dxfId="482" priority="1" operator="greaterThan">
      <formula>$B$12</formula>
    </cfRule>
  </conditionalFormatting>
  <conditionalFormatting sqref="D6">
    <cfRule type="cellIs" dxfId="481" priority="13" operator="greaterThan">
      <formula>$B$12</formula>
    </cfRule>
  </conditionalFormatting>
  <conditionalFormatting sqref="C7">
    <cfRule type="cellIs" dxfId="480" priority="11" operator="greaterThan">
      <formula>$B$12</formula>
    </cfRule>
  </conditionalFormatting>
  <conditionalFormatting sqref="D7">
    <cfRule type="cellIs" dxfId="479" priority="10" operator="greaterThan">
      <formula>$B$12</formula>
    </cfRule>
  </conditionalFormatting>
  <conditionalFormatting sqref="B8">
    <cfRule type="cellIs" dxfId="478" priority="9" operator="greaterThan">
      <formula>$B$12</formula>
    </cfRule>
  </conditionalFormatting>
  <conditionalFormatting sqref="B10">
    <cfRule type="cellIs" dxfId="477" priority="7" operator="greaterThan">
      <formula>$B$12</formula>
    </cfRule>
  </conditionalFormatting>
  <conditionalFormatting sqref="C8">
    <cfRule type="cellIs" dxfId="476" priority="6" operator="greaterThan">
      <formula>$B$12</formula>
    </cfRule>
  </conditionalFormatting>
  <conditionalFormatting sqref="D8">
    <cfRule type="cellIs" dxfId="475" priority="5" operator="greaterThan">
      <formula>$B$12</formula>
    </cfRule>
  </conditionalFormatting>
  <conditionalFormatting sqref="C9">
    <cfRule type="cellIs" dxfId="474" priority="4" operator="greaterThan">
      <formula>$B$12</formula>
    </cfRule>
  </conditionalFormatting>
  <conditionalFormatting sqref="D9">
    <cfRule type="cellIs" dxfId="473" priority="3" operator="greaterThan">
      <formula>$B$12</formula>
    </cfRule>
  </conditionalFormatting>
  <conditionalFormatting sqref="C10">
    <cfRule type="cellIs" dxfId="47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5.66406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4" t="s">
        <v>59</v>
      </c>
      <c r="B3" s="430">
        <v>1.2</v>
      </c>
      <c r="C3" s="430"/>
      <c r="D3" s="431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195.95917942265427</v>
      </c>
      <c r="C6" s="17">
        <f>(((SQRT(C5)*$B$3)/SQRT(3))*$C$15)/$A6</f>
        <v>309.83866769659335</v>
      </c>
      <c r="D6" s="17">
        <f>(((SQRT(D5)*$B$3)/SQRT(3))*$C$15)/$A6</f>
        <v>391.91835884530855</v>
      </c>
      <c r="F6" s="106" t="str">
        <f>_2016b</f>
        <v>Lechler</v>
      </c>
      <c r="G6" s="106" t="str">
        <f>_2016c</f>
        <v>IDTA 120 03 C</v>
      </c>
      <c r="H6" s="132">
        <f>_2016h</f>
        <v>0</v>
      </c>
      <c r="I6" s="42" t="str">
        <f>IF(H6="","","bis")</f>
        <v>bis</v>
      </c>
      <c r="J6" s="19">
        <f>_2016i</f>
        <v>0</v>
      </c>
      <c r="K6" s="20">
        <f>(((SQRT($H6)*$B$3)/SQRT(3))*60000)/($B$12*$B$15)</f>
        <v>0</v>
      </c>
      <c r="L6" s="42" t="str">
        <f>IF(K6="","","bis")</f>
        <v>bis</v>
      </c>
      <c r="M6" s="18">
        <f>(((SQRT($J6)*$B$3)/SQRT(3))*60000)/($B$12*$B$15)</f>
        <v>0</v>
      </c>
      <c r="N6" s="19">
        <f>_2016j</f>
        <v>0</v>
      </c>
      <c r="O6" s="42" t="str">
        <f>IF(N6="","","bis")</f>
        <v>bis</v>
      </c>
      <c r="P6" s="18">
        <f>_2016k</f>
        <v>0</v>
      </c>
      <c r="Q6" s="20">
        <f>(((SQRT($N6)*$B$3)/SQRT(3))*60000)/($B$12*$B$15)</f>
        <v>0</v>
      </c>
      <c r="R6" s="42" t="str">
        <f>IF(Q6="","","bis")</f>
        <v>bis</v>
      </c>
      <c r="S6" s="18">
        <f>(((SQRT($P6)*$B$3)/SQRT(3))*60000)/($B$12*$B$15)</f>
        <v>0</v>
      </c>
      <c r="T6" s="20">
        <f>_2016l</f>
        <v>1.5</v>
      </c>
      <c r="U6" s="42" t="str">
        <f>IF(T6="","","bis")</f>
        <v>bis</v>
      </c>
      <c r="V6" s="19">
        <f>_2016m</f>
        <v>2</v>
      </c>
      <c r="W6" s="20">
        <f>(((SQRT($T6)*$B$3)/SQRT(3))*60000)/($B$12*$B$15)</f>
        <v>5.0911688245431419</v>
      </c>
      <c r="X6" s="42" t="str">
        <f>IF(W6="","","bis")</f>
        <v>bis</v>
      </c>
      <c r="Y6" s="19">
        <f>(((SQRT($V6)*$B$3)/SQRT(3))*60000)/($B$12*$B$15)</f>
        <v>5.8787753826796285</v>
      </c>
      <c r="Z6" s="133">
        <f>_2016f</f>
        <v>1.5</v>
      </c>
      <c r="AA6" s="42" t="str">
        <f>IF(Z6="","","bis")</f>
        <v>bis</v>
      </c>
      <c r="AB6" s="134">
        <f>_2016g</f>
        <v>8</v>
      </c>
    </row>
    <row r="7" spans="1:28" ht="18" thickBot="1" x14ac:dyDescent="0.35">
      <c r="A7" s="21">
        <v>7</v>
      </c>
      <c r="B7" s="17">
        <f>(((SQRT(B5)*$B$3)/SQRT(3))*$C$15)/$A7</f>
        <v>167.96501093370367</v>
      </c>
      <c r="C7" s="17">
        <f>(((SQRT(C5)*$B$3)/SQRT(3))*$C$15)/$A7</f>
        <v>265.57600088279429</v>
      </c>
      <c r="D7" s="17">
        <f>(((SQRT(D5)*$B$3)/SQRT(3))*$C$15)/$A7</f>
        <v>335.93002186740733</v>
      </c>
      <c r="F7" s="106" t="str">
        <f>_b2018b</f>
        <v>Lechler</v>
      </c>
      <c r="G7" s="106" t="str">
        <f>_b2018c</f>
        <v>PSAULDCQ2003</v>
      </c>
      <c r="H7" s="132">
        <f>_b2018h</f>
        <v>0</v>
      </c>
      <c r="I7" s="42" t="str">
        <f>IF(H7="","","bis")</f>
        <v>bis</v>
      </c>
      <c r="J7" s="18">
        <f>_b2018i</f>
        <v>0</v>
      </c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>
        <f>_b2018j</f>
        <v>0</v>
      </c>
      <c r="O7" s="42" t="str">
        <f>IF(N7="","","bis")</f>
        <v>bis</v>
      </c>
      <c r="P7" s="18">
        <f>_b2018k</f>
        <v>0</v>
      </c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>
        <f>_b2018l</f>
        <v>1.5</v>
      </c>
      <c r="U7" s="42" t="str">
        <f>IF(T7="","","bis")</f>
        <v>bis</v>
      </c>
      <c r="V7" s="18">
        <f>_b2018m</f>
        <v>2</v>
      </c>
      <c r="W7" s="20">
        <f>(((SQRT($T7)*$B$3)/SQRT(3))*60000)/($B$12*$B$15)</f>
        <v>5.0911688245431419</v>
      </c>
      <c r="X7" s="42" t="str">
        <f>IF(W7="","","bis")</f>
        <v>bis</v>
      </c>
      <c r="Y7" s="18">
        <f>(((SQRT($V7)*$B$3)/SQRT(3))*60000)/($B$12*$B$15)</f>
        <v>5.8787753826796285</v>
      </c>
      <c r="Z7" s="133">
        <f>_b2018f</f>
        <v>1.5</v>
      </c>
      <c r="AA7" s="42" t="str">
        <f>IF(Z7="","","bis")</f>
        <v>bis</v>
      </c>
      <c r="AB7" s="134">
        <f>_b2018g</f>
        <v>8</v>
      </c>
    </row>
    <row r="8" spans="1:28" ht="18" thickBot="1" x14ac:dyDescent="0.35">
      <c r="A8" s="21">
        <v>8</v>
      </c>
      <c r="B8" s="17">
        <f>(((SQRT(B5)*$B$3)/SQRT(3))*$C$15)/$A8</f>
        <v>146.9693845669907</v>
      </c>
      <c r="C8" s="17">
        <f>(((SQRT(C5)*$B$3)/SQRT(3))*1200)/$A8</f>
        <v>232.37900077244501</v>
      </c>
      <c r="D8" s="17">
        <f>(((SQRT(D5)*$B$3)/SQRT(3))*1200)/$A8</f>
        <v>293.9387691339814</v>
      </c>
      <c r="F8" s="106" t="str">
        <f>_2046b</f>
        <v>TeeJet</v>
      </c>
      <c r="G8" s="106" t="str">
        <f>_2046c</f>
        <v>TTI60-110 03 VP-C</v>
      </c>
      <c r="H8" s="132">
        <f>_2046h</f>
        <v>1.5</v>
      </c>
      <c r="I8" s="42" t="str">
        <f>IF(H8="","","bis")</f>
        <v>bis</v>
      </c>
      <c r="J8" s="18">
        <f>_2046i</f>
        <v>7</v>
      </c>
      <c r="K8" s="20">
        <f>(((SQRT($H8)*$B$3)/SQRT(3))*60000)/($B$12*$B$15)</f>
        <v>5.0911688245431419</v>
      </c>
      <c r="L8" s="42" t="str">
        <f>IF(K8="","","bis")</f>
        <v>bis</v>
      </c>
      <c r="M8" s="18">
        <f>(((SQRT($J8)*$B$3)/SQRT(3))*60000)/($B$12*$B$15)</f>
        <v>10.998181667894018</v>
      </c>
      <c r="N8" s="20">
        <f>_2046j</f>
        <v>1.5</v>
      </c>
      <c r="O8" s="42" t="str">
        <f>IF(N8="","","bis")</f>
        <v>bis</v>
      </c>
      <c r="P8" s="18">
        <f>_2046k</f>
        <v>5</v>
      </c>
      <c r="Q8" s="20">
        <f>(((SQRT($N8)*$B$3)/SQRT(3))*60000)/($B$12*$B$15)</f>
        <v>5.0911688245431419</v>
      </c>
      <c r="R8" s="42" t="str">
        <f>IF(Q8="","","bis")</f>
        <v>bis</v>
      </c>
      <c r="S8" s="18">
        <f>(((SQRT($P8)*$B$3)/SQRT(3))*60000)/($B$12*$B$15)</f>
        <v>9.2951600308978009</v>
      </c>
      <c r="T8" s="20">
        <f>_2046l</f>
        <v>1.5</v>
      </c>
      <c r="U8" s="42" t="str">
        <f>IF(T8="","","bis")</f>
        <v>bis</v>
      </c>
      <c r="V8" s="18">
        <f>_2046m</f>
        <v>3</v>
      </c>
      <c r="W8" s="20">
        <f>(((SQRT($T8)*$B$3)/SQRT(3))*60000)/($B$12*$B$15)</f>
        <v>5.0911688245431419</v>
      </c>
      <c r="X8" s="42" t="str">
        <f>IF(W8="","","bis")</f>
        <v>bis</v>
      </c>
      <c r="Y8" s="18">
        <f>(((SQRT($V8)*$B$3)/SQRT(3))*60000)/($B$12*$B$15)</f>
        <v>7.2</v>
      </c>
      <c r="Z8" s="133">
        <f>_2046f</f>
        <v>1.5</v>
      </c>
      <c r="AA8" s="42" t="str">
        <f>IF(Z8="","","bis")</f>
        <v>bis</v>
      </c>
      <c r="AB8" s="134">
        <f>_2046g</f>
        <v>7</v>
      </c>
    </row>
    <row r="9" spans="1:28" ht="18" thickBot="1" x14ac:dyDescent="0.35">
      <c r="A9" s="21">
        <v>9</v>
      </c>
      <c r="B9" s="17">
        <f>(((SQRT(B5)*$B$3)/SQRT(3))*$C$15)/$A9</f>
        <v>130.63945294843617</v>
      </c>
      <c r="C9" s="17">
        <f>(((SQRT(C5)*$B$3)/SQRT(3))*$C$15)/$A9</f>
        <v>206.55911179772889</v>
      </c>
      <c r="D9" s="17">
        <f>(((SQRT(D5)*$B$3)/SQRT(3))*$C$15)/$A9</f>
        <v>261.27890589687235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117.57550765359255</v>
      </c>
      <c r="C10" s="27">
        <f>(((SQRT(C5)*$B$3)/SQRT(3))*$C$15)/$A10</f>
        <v>185.903200617956</v>
      </c>
      <c r="D10" s="27">
        <f>(((SQRT(D5)*$B$3)/SQRT(3))*$C$15)/$A10</f>
        <v>235.15101530718511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1.4467592592592591</v>
      </c>
      <c r="C13" s="26">
        <f>(B12*B14*B15)/60000</f>
        <v>0.83333333333333337</v>
      </c>
      <c r="D13" s="25">
        <f>POWER(((SQRT(3)*$E$13)/$B$3),2)</f>
        <v>16.724537037037038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DXEPAjAg73oalocXelcMq32rJq9ikHdcb7F4AzknVOvsG7P8HCkZh8Df3k8OJ9ArMb1YZy5nYIt6m5N8mDl+JA==" saltValue="wj63oWMRe1mGaiFGqLfrig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471" priority="8" operator="greaterThan">
      <formula>$B$12</formula>
    </cfRule>
  </conditionalFormatting>
  <conditionalFormatting sqref="C6">
    <cfRule type="cellIs" dxfId="470" priority="14" operator="greaterThan">
      <formula>$B$12</formula>
    </cfRule>
  </conditionalFormatting>
  <conditionalFormatting sqref="B6">
    <cfRule type="cellIs" dxfId="469" priority="15" operator="greaterThan">
      <formula>$B$12</formula>
    </cfRule>
  </conditionalFormatting>
  <conditionalFormatting sqref="B7">
    <cfRule type="cellIs" dxfId="468" priority="12" operator="greaterThan">
      <formula>$B$12</formula>
    </cfRule>
  </conditionalFormatting>
  <conditionalFormatting sqref="D10">
    <cfRule type="cellIs" dxfId="467" priority="1" operator="greaterThan">
      <formula>$B$12</formula>
    </cfRule>
  </conditionalFormatting>
  <conditionalFormatting sqref="D6">
    <cfRule type="cellIs" dxfId="466" priority="13" operator="greaterThan">
      <formula>$B$12</formula>
    </cfRule>
  </conditionalFormatting>
  <conditionalFormatting sqref="C7">
    <cfRule type="cellIs" dxfId="465" priority="11" operator="greaterThan">
      <formula>$B$12</formula>
    </cfRule>
  </conditionalFormatting>
  <conditionalFormatting sqref="D7">
    <cfRule type="cellIs" dxfId="464" priority="10" operator="greaterThan">
      <formula>$B$12</formula>
    </cfRule>
  </conditionalFormatting>
  <conditionalFormatting sqref="B8">
    <cfRule type="cellIs" dxfId="463" priority="9" operator="greaterThan">
      <formula>$B$12</formula>
    </cfRule>
  </conditionalFormatting>
  <conditionalFormatting sqref="B10">
    <cfRule type="cellIs" dxfId="462" priority="7" operator="greaterThan">
      <formula>$B$12</formula>
    </cfRule>
  </conditionalFormatting>
  <conditionalFormatting sqref="C8">
    <cfRule type="cellIs" dxfId="461" priority="6" operator="greaterThan">
      <formula>$B$12</formula>
    </cfRule>
  </conditionalFormatting>
  <conditionalFormatting sqref="D8">
    <cfRule type="cellIs" dxfId="460" priority="5" operator="greaterThan">
      <formula>$B$12</formula>
    </cfRule>
  </conditionalFormatting>
  <conditionalFormatting sqref="C9">
    <cfRule type="cellIs" dxfId="459" priority="4" operator="greaterThan">
      <formula>$B$12</formula>
    </cfRule>
  </conditionalFormatting>
  <conditionalFormatting sqref="D9">
    <cfRule type="cellIs" dxfId="458" priority="3" operator="greaterThan">
      <formula>$B$12</formula>
    </cfRule>
  </conditionalFormatting>
  <conditionalFormatting sqref="C10">
    <cfRule type="cellIs" dxfId="45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" style="1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4" t="s">
        <v>59</v>
      </c>
      <c r="B3" s="430">
        <v>1.2</v>
      </c>
      <c r="C3" s="430"/>
      <c r="D3" s="431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2</v>
      </c>
      <c r="D5" s="15">
        <v>3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4</v>
      </c>
      <c r="B6" s="17">
        <f>(((SQRT($B$5)*$B$3)/SQRT(3))*60000)/($A$6*$B$16)</f>
        <v>346.41016151377545</v>
      </c>
      <c r="C6" s="17">
        <f>(((SQRT($C$5)*$B$3)/SQRT(3))*60000)/($A$6*$B$16)</f>
        <v>489.8979485566357</v>
      </c>
      <c r="D6" s="17">
        <f>(((SQRT($D$5)*$B$3)/SQRT(3))*60000)/($A$6*$B$16)</f>
        <v>600</v>
      </c>
      <c r="F6" s="106" t="str">
        <f>_1437b</f>
        <v>Lechler</v>
      </c>
      <c r="G6" s="106" t="str">
        <f>_1437c</f>
        <v>ES 90 03E MS</v>
      </c>
      <c r="H6" s="132">
        <f>_1437h</f>
        <v>1.5</v>
      </c>
      <c r="I6" s="42" t="str">
        <f>IF(H6="","","bis")</f>
        <v>bis</v>
      </c>
      <c r="J6" s="18">
        <f>_1437i</f>
        <v>3</v>
      </c>
      <c r="K6" s="20">
        <f>(((SQRT($H6)*$B$3)/SQRT(3))*60000)/($B$12*$B$16)</f>
        <v>5.6568542494923797</v>
      </c>
      <c r="L6" s="42" t="str">
        <f>IF(K6="","","bis")</f>
        <v>bis</v>
      </c>
      <c r="M6" s="18">
        <f>(((SQRT($J6)*$B$3)/SQRT(3))*60000)/($B$12*$B$16)</f>
        <v>8</v>
      </c>
      <c r="N6" s="19">
        <f>_1437j</f>
        <v>1.5</v>
      </c>
      <c r="O6" s="42" t="str">
        <f>IF(N6="","","bis")</f>
        <v>bis</v>
      </c>
      <c r="P6" s="19">
        <f>_1437k</f>
        <v>3</v>
      </c>
      <c r="Q6" s="20">
        <f>(((SQRT($N6)*$B$3)/SQRT(3))*60000)/($B$12*$B$16)</f>
        <v>5.6568542494923797</v>
      </c>
      <c r="R6" s="42" t="str">
        <f>IF(Q6="","","bis")</f>
        <v>bis</v>
      </c>
      <c r="S6" s="18">
        <f>(((SQRT($P6)*$B$3)/SQRT(3))*60000)/($B$12*$B$16)</f>
        <v>8</v>
      </c>
      <c r="T6" s="19">
        <f>_1437l</f>
        <v>1.5</v>
      </c>
      <c r="U6" s="42" t="str">
        <f>IF(T6="","","bis")</f>
        <v>bis</v>
      </c>
      <c r="V6" s="19">
        <f>_1437m</f>
        <v>3</v>
      </c>
      <c r="W6" s="20">
        <f>(((SQRT($T6)*$B$3)/SQRT(3))*60000)/($B$12*$B$16)</f>
        <v>5.6568542494923797</v>
      </c>
      <c r="X6" s="42" t="str">
        <f>IF(W6="","","bis")</f>
        <v>bis</v>
      </c>
      <c r="Y6" s="18">
        <f>(((SQRT($V6)*$B$3)/SQRT(3))*60000)/($B$12*$B$16)</f>
        <v>8</v>
      </c>
      <c r="Z6" s="133">
        <f>_1437f</f>
        <v>1.5</v>
      </c>
      <c r="AA6" s="42" t="str">
        <f>IF(Z6="","","bis")</f>
        <v>bis</v>
      </c>
      <c r="AB6" s="134">
        <f>_1437g</f>
        <v>3</v>
      </c>
    </row>
    <row r="7" spans="1:28" ht="18" thickBot="1" x14ac:dyDescent="0.35">
      <c r="A7" s="21">
        <v>5</v>
      </c>
      <c r="B7" s="17">
        <f>(((SQRT($B$5)*$B$3)/SQRT(3))*60000)/($A$7*$B$16)</f>
        <v>277.12812921102039</v>
      </c>
      <c r="C7" s="17">
        <f>(((SQRT($C$5)*$B$3)/SQRT(3))*60000)/($A$7*$B$16)</f>
        <v>391.91835884530855</v>
      </c>
      <c r="D7" s="17">
        <f>(((SQRT($D$5)*$B$3)/SQRT(3))*60000)/($A$7*$B$16)</f>
        <v>480</v>
      </c>
      <c r="F7" s="106" t="str">
        <f>_2086b</f>
        <v>Lechler</v>
      </c>
      <c r="G7" s="106" t="str">
        <f>_2086c</f>
        <v>FT 90 03</v>
      </c>
      <c r="H7" s="132">
        <f>_2086h</f>
        <v>1.5</v>
      </c>
      <c r="I7" s="42" t="str">
        <f>IF(H7="","","bis")</f>
        <v>bis</v>
      </c>
      <c r="J7" s="18">
        <f>_2086i</f>
        <v>4</v>
      </c>
      <c r="K7" s="20">
        <f>(((SQRT($H7)*$B$3)/SQRT(3))*60000)/($B$12*$B$16)</f>
        <v>5.6568542494923797</v>
      </c>
      <c r="L7" s="42" t="str">
        <f>IF(K7="","","bis")</f>
        <v>bis</v>
      </c>
      <c r="M7" s="18">
        <f>(((SQRT($J7)*$B$3)/SQRT(3))*60000)/($B$12*$B$16)</f>
        <v>9.2376043070340117</v>
      </c>
      <c r="N7" s="19">
        <f>_2086j</f>
        <v>1.5</v>
      </c>
      <c r="O7" s="42" t="str">
        <f>IF(N7="","","bis")</f>
        <v>bis</v>
      </c>
      <c r="P7" s="19">
        <f>_2086k</f>
        <v>4</v>
      </c>
      <c r="Q7" s="20">
        <f>(((SQRT($N7)*$B$3)/SQRT(3))*60000)/($B$12*$B$16)</f>
        <v>5.6568542494923797</v>
      </c>
      <c r="R7" s="42" t="str">
        <f>IF(Q7="","","bis")</f>
        <v>bis</v>
      </c>
      <c r="S7" s="18">
        <f>(((SQRT($P7)*$B$3)/SQRT(3))*60000)/($B$12*$B$16)</f>
        <v>9.2376043070340117</v>
      </c>
      <c r="T7" s="19">
        <f>_2086l</f>
        <v>1.5</v>
      </c>
      <c r="U7" s="42" t="str">
        <f>IF(T7="","","bis")</f>
        <v>bis</v>
      </c>
      <c r="V7" s="19">
        <f>_2086m</f>
        <v>4</v>
      </c>
      <c r="W7" s="20">
        <f>(((SQRT($T7)*$B$3)/SQRT(3))*60000)/($B$12*$B$16)</f>
        <v>5.6568542494923797</v>
      </c>
      <c r="X7" s="42" t="str">
        <f>IF(W7="","","bis")</f>
        <v>bis</v>
      </c>
      <c r="Y7" s="18">
        <f>(((SQRT($V7)*$B$3)/SQRT(3))*60000)/($B$12*$B$16)</f>
        <v>9.2376043070340117</v>
      </c>
      <c r="Z7" s="133">
        <f>_2086f</f>
        <v>1.5</v>
      </c>
      <c r="AA7" s="42" t="str">
        <f>IF(Z7="","","bis")</f>
        <v>bis</v>
      </c>
      <c r="AB7" s="134">
        <f>_2086g</f>
        <v>4</v>
      </c>
    </row>
    <row r="8" spans="1:28" ht="18" thickBot="1" x14ac:dyDescent="0.35">
      <c r="A8" s="21">
        <v>6</v>
      </c>
      <c r="B8" s="17">
        <f>(((SQRT($B$5)*$B$3)/SQRT(3))*60000)/($A$8*$B$16)</f>
        <v>230.9401076758503</v>
      </c>
      <c r="C8" s="17">
        <f>(((SQRT($C$5)*$B$3)/SQRT(3))*60000)/($A$8*$B$16)</f>
        <v>326.59863237109045</v>
      </c>
      <c r="D8" s="17">
        <f>(((SQRT($D$5)*$B$3)/SQRT(3))*60000)/($A$8*$B$16)</f>
        <v>400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(((SQRT($H8)*$B$3)/SQRT(3))*60000)/($B$12*$B$16)</f>
        <v>0</v>
      </c>
      <c r="L8" s="42" t="str">
        <f>IF(K8="","","bis")</f>
        <v>bis</v>
      </c>
      <c r="M8" s="18">
        <f>(((SQRT($J8)*$B$3)/SQRT(3))*60000)/($B$12*$B$16)</f>
        <v>0</v>
      </c>
      <c r="N8" s="20"/>
      <c r="O8" s="42" t="str">
        <f>IF(N8="","","bis")</f>
        <v/>
      </c>
      <c r="P8" s="18"/>
      <c r="Q8" s="20">
        <f>(((SQRT($N8)*$B$3)/SQRT(3))*60000)/($B$12*$B$16)</f>
        <v>0</v>
      </c>
      <c r="R8" s="42" t="str">
        <f>IF(Q8="","","bis")</f>
        <v>bis</v>
      </c>
      <c r="S8" s="18">
        <f>(((SQRT($P8)*$B$3)/SQRT(3))*60000)/($B$12*$B$16)</f>
        <v>0</v>
      </c>
      <c r="T8" s="20"/>
      <c r="U8" s="42" t="str">
        <f>IF(T8="","","bis")</f>
        <v/>
      </c>
      <c r="V8" s="18"/>
      <c r="W8" s="20">
        <f>(((SQRT($T8)*$B$3)/SQRT(3))*60000)/($B$12*$B$16)</f>
        <v>0</v>
      </c>
      <c r="X8" s="42" t="str">
        <f>IF(W8="","","bis")</f>
        <v>bis</v>
      </c>
      <c r="Y8" s="18">
        <f>(((SQRT($V8)*$B$3)/SQRT(3))*60000)/($B$12*$B$16)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7</v>
      </c>
      <c r="B9" s="17">
        <f>(((SQRT($B$5)*$B$3)/SQRT(3))*60000)/($A$9*$B$16)</f>
        <v>197.94866372215742</v>
      </c>
      <c r="C9" s="17">
        <f>(((SQRT($C$5)*$B$3)/SQRT(3))*60000)/($A$9*$B$16)</f>
        <v>279.94168488950612</v>
      </c>
      <c r="D9" s="17">
        <f>(((SQRT($D$5)*$B$3)/SQRT(3))*60000)/($A$9*$B$16)</f>
        <v>342.85714285714283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(((SQRT($H9)*$B$3)/SQRT(3))*60000)/($B$12*$B$16)</f>
        <v>0</v>
      </c>
      <c r="L9" s="42" t="str">
        <f>IF(K9="","","bis")</f>
        <v>bis</v>
      </c>
      <c r="M9" s="18">
        <f>(((SQRT($J9)*$B$3)/SQRT(3))*60000)/($B$12*$B$16)</f>
        <v>0</v>
      </c>
      <c r="N9" s="20"/>
      <c r="O9" s="42" t="str">
        <f>IF(N9="","","bis")</f>
        <v/>
      </c>
      <c r="P9" s="18"/>
      <c r="Q9" s="20">
        <f>(((SQRT($N9)*$B$3)/SQRT(3))*60000)/($B$12*$B$16)</f>
        <v>0</v>
      </c>
      <c r="R9" s="42" t="str">
        <f>IF(Q9="","","bis")</f>
        <v>bis</v>
      </c>
      <c r="S9" s="18">
        <f>(((SQRT($P9)*$B$3)/SQRT(3))*60000)/($B$12*$B$16)</f>
        <v>0</v>
      </c>
      <c r="T9" s="20"/>
      <c r="U9" s="42" t="str">
        <f>IF(T9="","","bis")</f>
        <v/>
      </c>
      <c r="V9" s="19"/>
      <c r="W9" s="20">
        <f>(((SQRT($T9)*$B$3)/SQRT(3))*60000)/($B$12*$B$16)</f>
        <v>0</v>
      </c>
      <c r="X9" s="42" t="str">
        <f>IF(W9="","","bis")</f>
        <v>bis</v>
      </c>
      <c r="Y9" s="18">
        <f>(((SQRT($V9)*$B$3)/SQRT(3))*60000)/($B$12*$B$16)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8</v>
      </c>
      <c r="B10" s="27">
        <f>(((SQRT($B$5)*$B$3)/SQRT(3))*60000)/($A$10*$B$16)</f>
        <v>173.20508075688772</v>
      </c>
      <c r="C10" s="27">
        <f>(((SQRT($C$5)*$B$3)/SQRT(3))*60000)/($A$10*$B$16)</f>
        <v>244.94897427831785</v>
      </c>
      <c r="D10" s="27">
        <f>(((SQRT($D$5)*$B$3)/SQRT(3))*60000)/($A$10*$B$16)</f>
        <v>300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(((SQRT($H10)*$B$3)/SQRT(3))*60000)/($B$12*$B$16)</f>
        <v>0</v>
      </c>
      <c r="L10" s="42" t="str">
        <f>IF(K10="","","bis")</f>
        <v>bis</v>
      </c>
      <c r="M10" s="18">
        <f>(((SQRT($J10)*$B$3)/SQRT(3))*60000)/($B$12*$B$16)</f>
        <v>0</v>
      </c>
      <c r="N10" s="20"/>
      <c r="O10" s="42" t="str">
        <f>IF(N10="","","bis")</f>
        <v/>
      </c>
      <c r="P10" s="18"/>
      <c r="Q10" s="20">
        <f>(((SQRT($N10)*$B$3)/SQRT(3))*60000)/($B$12*$B$16)</f>
        <v>0</v>
      </c>
      <c r="R10" s="42" t="str">
        <f>IF(Q10="","","bis")</f>
        <v>bis</v>
      </c>
      <c r="S10" s="18">
        <f>(((SQRT($P10)*$B$3)/SQRT(3))*60000)/($B$12*$B$16)</f>
        <v>0</v>
      </c>
      <c r="T10" s="20"/>
      <c r="U10" s="42" t="str">
        <f>IF(T10="","","bis")</f>
        <v/>
      </c>
      <c r="V10" s="18"/>
      <c r="W10" s="20">
        <f>(((SQRT($T10)*$B$3)/SQRT(3))*60000)/($B$12*$B$16)</f>
        <v>0</v>
      </c>
      <c r="X10" s="42" t="str">
        <f>IF(W10="","","bis")</f>
        <v>bis</v>
      </c>
      <c r="Y10" s="18">
        <f>(((SQRT($V10)*$B$3)/SQRT(3))*60000)/($B$12*$B$16)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300</v>
      </c>
      <c r="C12" s="24"/>
      <c r="D12" s="418"/>
      <c r="E12" s="418"/>
      <c r="F12" s="49"/>
      <c r="G12" s="115"/>
    </row>
    <row r="13" spans="1:28" ht="18" thickBot="1" x14ac:dyDescent="0.35">
      <c r="A13" s="23" t="s">
        <v>57</v>
      </c>
      <c r="B13" s="25">
        <f>POWER(((SQRT(3)*$C$13)/$B$3),2)</f>
        <v>1.1718750000000002</v>
      </c>
      <c r="C13" s="45">
        <f>(B12*B14*B16)/60000</f>
        <v>0.75</v>
      </c>
      <c r="D13" s="422"/>
      <c r="E13" s="422"/>
      <c r="F13" s="49"/>
      <c r="G13" s="115"/>
    </row>
    <row r="14" spans="1:28" ht="18" thickBot="1" x14ac:dyDescent="0.35">
      <c r="A14" s="23" t="s">
        <v>58</v>
      </c>
      <c r="B14" s="9">
        <v>5</v>
      </c>
      <c r="D14" s="182"/>
      <c r="E14" s="115"/>
      <c r="F14" s="179"/>
      <c r="G14" s="115"/>
    </row>
    <row r="15" spans="1:28" ht="18" thickBot="1" x14ac:dyDescent="0.35">
      <c r="A15" s="23"/>
      <c r="B15" s="49"/>
      <c r="C15" s="26"/>
      <c r="D15" s="418"/>
      <c r="E15" s="418"/>
      <c r="F15" s="181"/>
      <c r="G15" s="184">
        <f>(B12*B18/100)*B19</f>
        <v>75</v>
      </c>
    </row>
    <row r="16" spans="1:28" ht="18" thickBot="1" x14ac:dyDescent="0.35">
      <c r="A16" s="174" t="s">
        <v>89</v>
      </c>
      <c r="B16" s="28">
        <v>30</v>
      </c>
    </row>
    <row r="17" spans="1:12" ht="18" thickBot="1" x14ac:dyDescent="0.35">
      <c r="A17" s="175" t="s">
        <v>90</v>
      </c>
      <c r="B17" s="28">
        <v>120</v>
      </c>
    </row>
    <row r="18" spans="1:12" ht="18" thickBot="1" x14ac:dyDescent="0.35">
      <c r="A18" s="46" t="s">
        <v>91</v>
      </c>
      <c r="B18" s="47">
        <f>(B16*100)/B17</f>
        <v>25</v>
      </c>
    </row>
    <row r="19" spans="1:12" ht="18" thickBot="1" x14ac:dyDescent="0.35">
      <c r="A19" s="174" t="s">
        <v>92</v>
      </c>
      <c r="B19" s="48">
        <v>1</v>
      </c>
    </row>
    <row r="20" spans="1:12" ht="18" thickBot="1" x14ac:dyDescent="0.35">
      <c r="A20" s="11" t="s">
        <v>236</v>
      </c>
      <c r="B20" s="177">
        <v>1</v>
      </c>
      <c r="J20" s="406">
        <f>B20*((B16/B17)*B19)</f>
        <v>0.25</v>
      </c>
      <c r="K20" s="407"/>
      <c r="L20" s="408"/>
    </row>
  </sheetData>
  <sheetProtection algorithmName="SHA-512" hashValue="rNqAwz7ivoQ1LBHcufEf6U1nC/uK4riw8PiMnbWL+icKmCPoYDDsR+jPICBCgI7cUyjTfKiTT78bqDBS3/Gdjw==" saltValue="6EdOxoyKfSp4nMc/ZdSPlQ==" spinCount="100000" sheet="1" objects="1" scenarios="1"/>
  <mergeCells count="15">
    <mergeCell ref="J20:L20"/>
    <mergeCell ref="D12:E12"/>
    <mergeCell ref="D13:E13"/>
    <mergeCell ref="D15:E15"/>
    <mergeCell ref="B3:D3"/>
    <mergeCell ref="H4:M4"/>
    <mergeCell ref="Z4:AB5"/>
    <mergeCell ref="H5:J5"/>
    <mergeCell ref="K5:M5"/>
    <mergeCell ref="N5:P5"/>
    <mergeCell ref="Q5:S5"/>
    <mergeCell ref="T5:V5"/>
    <mergeCell ref="W5:Y5"/>
    <mergeCell ref="N4:S4"/>
    <mergeCell ref="T4:Y4"/>
  </mergeCells>
  <conditionalFormatting sqref="B6">
    <cfRule type="cellIs" dxfId="456" priority="15" operator="greaterThan">
      <formula>$B$12</formula>
    </cfRule>
  </conditionalFormatting>
  <conditionalFormatting sqref="C6">
    <cfRule type="cellIs" dxfId="455" priority="14" operator="greaterThan">
      <formula>$B$12</formula>
    </cfRule>
  </conditionalFormatting>
  <conditionalFormatting sqref="D6">
    <cfRule type="cellIs" dxfId="454" priority="13" operator="greaterThan">
      <formula>$B$12</formula>
    </cfRule>
  </conditionalFormatting>
  <conditionalFormatting sqref="B7">
    <cfRule type="cellIs" dxfId="453" priority="12" operator="greaterThan">
      <formula>$B$12</formula>
    </cfRule>
  </conditionalFormatting>
  <conditionalFormatting sqref="C7">
    <cfRule type="cellIs" dxfId="452" priority="11" operator="greaterThan">
      <formula>$B$12</formula>
    </cfRule>
  </conditionalFormatting>
  <conditionalFormatting sqref="D7">
    <cfRule type="cellIs" dxfId="451" priority="10" operator="greaterThan">
      <formula>$B$12</formula>
    </cfRule>
  </conditionalFormatting>
  <conditionalFormatting sqref="B8">
    <cfRule type="cellIs" dxfId="450" priority="9" operator="greaterThan">
      <formula>$B$12</formula>
    </cfRule>
  </conditionalFormatting>
  <conditionalFormatting sqref="C8">
    <cfRule type="cellIs" dxfId="449" priority="8" operator="greaterThan">
      <formula>$B$12</formula>
    </cfRule>
  </conditionalFormatting>
  <conditionalFormatting sqref="D8">
    <cfRule type="cellIs" dxfId="448" priority="7" operator="greaterThan">
      <formula>$B$12</formula>
    </cfRule>
  </conditionalFormatting>
  <conditionalFormatting sqref="B9">
    <cfRule type="cellIs" dxfId="447" priority="6" operator="greaterThan">
      <formula>$B$12</formula>
    </cfRule>
  </conditionalFormatting>
  <conditionalFormatting sqref="B10">
    <cfRule type="cellIs" dxfId="446" priority="5" operator="greaterThan">
      <formula>$B$12</formula>
    </cfRule>
  </conditionalFormatting>
  <conditionalFormatting sqref="C9">
    <cfRule type="cellIs" dxfId="445" priority="4" operator="greaterThan">
      <formula>$B$12</formula>
    </cfRule>
  </conditionalFormatting>
  <conditionalFormatting sqref="D9">
    <cfRule type="cellIs" dxfId="444" priority="3" operator="greaterThan">
      <formula>$B$12</formula>
    </cfRule>
  </conditionalFormatting>
  <conditionalFormatting sqref="C10">
    <cfRule type="cellIs" dxfId="443" priority="2" operator="greaterThan">
      <formula>$B$12</formula>
    </cfRule>
  </conditionalFormatting>
  <conditionalFormatting sqref="D10">
    <cfRule type="cellIs" dxfId="442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.88671875" style="11" bestFit="1" customWidth="1"/>
    <col min="8" max="8" width="23.109375" style="11" bestFit="1" customWidth="1"/>
    <col min="9" max="14" width="6.6640625" style="11" customWidth="1"/>
    <col min="15" max="20" width="6.6640625" style="12" customWidth="1"/>
    <col min="21" max="28" width="6.6640625" style="11" customWidth="1"/>
    <col min="29" max="29" width="12.109375" style="11" bestFit="1" customWidth="1"/>
    <col min="30" max="16384" width="11.44140625" style="11"/>
  </cols>
  <sheetData>
    <row r="1" spans="1:29" x14ac:dyDescent="0.3">
      <c r="A1" s="10"/>
    </row>
    <row r="2" spans="1:29" ht="18" thickBot="1" x14ac:dyDescent="0.35"/>
    <row r="3" spans="1:29" ht="18" thickBot="1" x14ac:dyDescent="0.35">
      <c r="A3" s="34" t="s">
        <v>59</v>
      </c>
      <c r="B3" s="430">
        <v>1.2</v>
      </c>
      <c r="C3" s="430"/>
      <c r="D3" s="431"/>
    </row>
    <row r="4" spans="1:29" ht="18" thickBot="1" x14ac:dyDescent="0.35">
      <c r="G4" s="107" t="str">
        <f>"03"</f>
        <v>03</v>
      </c>
      <c r="H4" s="107" t="str">
        <f>"03"</f>
        <v>03</v>
      </c>
      <c r="I4" s="381">
        <v>50</v>
      </c>
      <c r="J4" s="382"/>
      <c r="K4" s="382"/>
      <c r="L4" s="382"/>
      <c r="M4" s="382"/>
      <c r="N4" s="399"/>
      <c r="O4" s="383">
        <v>75</v>
      </c>
      <c r="P4" s="383"/>
      <c r="Q4" s="383"/>
      <c r="R4" s="383"/>
      <c r="S4" s="383"/>
      <c r="T4" s="400"/>
      <c r="U4" s="384">
        <v>90</v>
      </c>
      <c r="V4" s="385"/>
      <c r="W4" s="385"/>
      <c r="X4" s="385"/>
      <c r="Y4" s="385"/>
      <c r="Z4" s="401"/>
      <c r="AA4" s="391" t="s">
        <v>53</v>
      </c>
      <c r="AB4" s="392"/>
      <c r="AC4" s="393"/>
    </row>
    <row r="5" spans="1:29" ht="18" thickBot="1" x14ac:dyDescent="0.35">
      <c r="A5" s="13" t="s">
        <v>52</v>
      </c>
      <c r="B5" s="14">
        <v>1</v>
      </c>
      <c r="C5" s="15">
        <v>4</v>
      </c>
      <c r="D5" s="15">
        <v>8</v>
      </c>
      <c r="E5" s="104"/>
      <c r="F5" s="13" t="s">
        <v>9</v>
      </c>
      <c r="G5" s="13" t="s">
        <v>200</v>
      </c>
      <c r="H5" s="13" t="s">
        <v>198</v>
      </c>
      <c r="I5" s="402" t="s">
        <v>14</v>
      </c>
      <c r="J5" s="403"/>
      <c r="K5" s="404"/>
      <c r="L5" s="381" t="s">
        <v>55</v>
      </c>
      <c r="M5" s="382"/>
      <c r="N5" s="399"/>
      <c r="O5" s="405" t="s">
        <v>14</v>
      </c>
      <c r="P5" s="383"/>
      <c r="Q5" s="400"/>
      <c r="R5" s="405" t="s">
        <v>55</v>
      </c>
      <c r="S5" s="383"/>
      <c r="T5" s="400"/>
      <c r="U5" s="384" t="s">
        <v>14</v>
      </c>
      <c r="V5" s="385"/>
      <c r="W5" s="401"/>
      <c r="X5" s="388" t="s">
        <v>55</v>
      </c>
      <c r="Y5" s="389"/>
      <c r="Z5" s="390"/>
      <c r="AA5" s="394"/>
      <c r="AB5" s="395"/>
      <c r="AC5" s="396"/>
    </row>
    <row r="6" spans="1:29" ht="18" thickBot="1" x14ac:dyDescent="0.35">
      <c r="A6" s="16">
        <v>6</v>
      </c>
      <c r="B6" s="17">
        <f>(((SQRT(B5)*$B$3)/SQRT(3))*$C$15)/$A6</f>
        <v>138.5640646055102</v>
      </c>
      <c r="C6" s="17">
        <f>(((SQRT(C5)*$B$3)/SQRT(3))*$C$15)/$A6</f>
        <v>277.12812921102039</v>
      </c>
      <c r="D6" s="17">
        <f>(((SQRT(D5)*$B$3)/SQRT(3))*$C$15)/$A6</f>
        <v>391.91835884530855</v>
      </c>
      <c r="E6" s="105"/>
      <c r="F6" s="106" t="str">
        <f>_1787b</f>
        <v>Lechler</v>
      </c>
      <c r="G6" s="106" t="str">
        <f>_1787t</f>
        <v>IDKN 120 03</v>
      </c>
      <c r="H6" s="106" t="str">
        <f>_1787c</f>
        <v>IDKS 80 03</v>
      </c>
      <c r="I6" s="132">
        <f>_1787h</f>
        <v>1</v>
      </c>
      <c r="J6" s="42" t="str">
        <f>IF(I6="","","bis")</f>
        <v>bis</v>
      </c>
      <c r="K6" s="19">
        <f>_1787i</f>
        <v>3</v>
      </c>
      <c r="L6" s="20">
        <f>(((SQRT($I6)*$B$3)/SQRT(3))*60000)/($B$12*$B$15)</f>
        <v>5.5425625842204074</v>
      </c>
      <c r="M6" s="42" t="str">
        <f>IF(L6="","","bis")</f>
        <v>bis</v>
      </c>
      <c r="N6" s="18">
        <f>(((SQRT($K6)*$B$3)/SQRT(3))*60000)/($B$12*$B$15)</f>
        <v>9.6</v>
      </c>
      <c r="O6" s="19">
        <f>_1787j</f>
        <v>1</v>
      </c>
      <c r="P6" s="42" t="str">
        <f>IF(O6="","","bis")</f>
        <v>bis</v>
      </c>
      <c r="Q6" s="18">
        <f>_1787k</f>
        <v>1.5</v>
      </c>
      <c r="R6" s="20">
        <f>(((SQRT($O6)*$B$3)/SQRT(3))*60000)/($B$12*$B$15)</f>
        <v>5.5425625842204074</v>
      </c>
      <c r="S6" s="42" t="str">
        <f>IF(R6="","","bis")</f>
        <v>bis</v>
      </c>
      <c r="T6" s="18">
        <f>(((SQRT($Q6)*$B$3)/SQRT(3))*60000)/($B$12*$B$15)</f>
        <v>6.7882250993908562</v>
      </c>
      <c r="U6" s="20">
        <f>_1787l</f>
        <v>1</v>
      </c>
      <c r="V6" s="42" t="str">
        <f>IF(U6="","","bis")</f>
        <v>bis</v>
      </c>
      <c r="W6" s="19">
        <f>_1787m</f>
        <v>1</v>
      </c>
      <c r="X6" s="20">
        <f>(((SQRT($U6)*$B$3)/SQRT(3))*60000)/($B$12*$B$15)</f>
        <v>5.5425625842204074</v>
      </c>
      <c r="Y6" s="42" t="str">
        <f>IF(X6="","","bis")</f>
        <v>bis</v>
      </c>
      <c r="Z6" s="19">
        <f>(((SQRT($W6)*$B$3)/SQRT(3))*60000)/($B$12*$B$15)</f>
        <v>5.5425625842204074</v>
      </c>
      <c r="AA6" s="133">
        <f>_1787f</f>
        <v>1</v>
      </c>
      <c r="AB6" s="42" t="str">
        <f>IF(AA6="","","bis")</f>
        <v>bis</v>
      </c>
      <c r="AC6" s="134">
        <f>_1787g</f>
        <v>6</v>
      </c>
    </row>
    <row r="7" spans="1:29" ht="18" thickBot="1" x14ac:dyDescent="0.35">
      <c r="A7" s="21">
        <v>7</v>
      </c>
      <c r="B7" s="17">
        <f>(((SQRT(B5)*$B$3)/SQRT(3))*$C$15)/$A7</f>
        <v>118.76919823329445</v>
      </c>
      <c r="C7" s="17">
        <f>(((SQRT(C5)*$B$3)/SQRT(3))*$C$15)/$A7</f>
        <v>237.53839646658889</v>
      </c>
      <c r="D7" s="17">
        <f>(((SQRT(D5)*$B$3)/SQRT(3))*$C$15)/$A7</f>
        <v>335.93002186740733</v>
      </c>
      <c r="E7" s="105"/>
      <c r="F7" s="106" t="str">
        <f>_b1787b</f>
        <v>Lechler</v>
      </c>
      <c r="G7" s="106" t="str">
        <f>_b1787t</f>
        <v>IDKT 120 03</v>
      </c>
      <c r="H7" s="106" t="str">
        <f>_b1787c</f>
        <v>IDKS 80 03</v>
      </c>
      <c r="I7" s="132">
        <f>_b1787h</f>
        <v>1</v>
      </c>
      <c r="J7" s="42" t="str">
        <f>IF(I7="","","bis")</f>
        <v>bis</v>
      </c>
      <c r="K7" s="19">
        <f>_b1787i</f>
        <v>4</v>
      </c>
      <c r="L7" s="20">
        <f>(((SQRT($I7)*$B$3)/SQRT(3))*60000)/($B$12*$B$15)</f>
        <v>5.5425625842204074</v>
      </c>
      <c r="M7" s="42" t="str">
        <f>IF(L7="","","bis")</f>
        <v>bis</v>
      </c>
      <c r="N7" s="18">
        <f>(((SQRT($K7)*$B$3)/SQRT(3))*60000)/($B$12*$B$15)</f>
        <v>11.085125168440815</v>
      </c>
      <c r="O7" s="19">
        <f>_b1787j</f>
        <v>1</v>
      </c>
      <c r="P7" s="42" t="str">
        <f>IF(O7="","","bis")</f>
        <v>bis</v>
      </c>
      <c r="Q7" s="18">
        <f>_b1787k</f>
        <v>2</v>
      </c>
      <c r="R7" s="20">
        <f>(((SQRT($O7)*$B$3)/SQRT(3))*60000)/($B$12*$B$15)</f>
        <v>5.5425625842204074</v>
      </c>
      <c r="S7" s="42" t="str">
        <f>IF(R7="","","bis")</f>
        <v>bis</v>
      </c>
      <c r="T7" s="18">
        <f>(((SQRT($Q7)*$B$3)/SQRT(3))*60000)/($B$12*$B$15)</f>
        <v>7.8383671769061705</v>
      </c>
      <c r="U7" s="20">
        <f>_b1787l</f>
        <v>1</v>
      </c>
      <c r="V7" s="42" t="str">
        <f>IF(U7="","","bis")</f>
        <v>bis</v>
      </c>
      <c r="W7" s="19">
        <f>_b1787m</f>
        <v>1.5</v>
      </c>
      <c r="X7" s="20">
        <f>(((SQRT($U7)*$B$3)/SQRT(3))*60000)/($B$12*$B$15)</f>
        <v>5.5425625842204074</v>
      </c>
      <c r="Y7" s="42" t="str">
        <f>IF(X7="","","bis")</f>
        <v>bis</v>
      </c>
      <c r="Z7" s="18">
        <f>(((SQRT($W7)*$B$3)/SQRT(3))*60000)/($B$12*$B$15)</f>
        <v>6.7882250993908562</v>
      </c>
      <c r="AA7" s="133">
        <f>_b1787f</f>
        <v>1</v>
      </c>
      <c r="AB7" s="42" t="str">
        <f>IF(AA7="","","bis")</f>
        <v>bis</v>
      </c>
      <c r="AC7" s="134">
        <f>_b1787g</f>
        <v>6</v>
      </c>
    </row>
    <row r="8" spans="1:29" ht="18" thickBot="1" x14ac:dyDescent="0.35">
      <c r="A8" s="21">
        <v>8</v>
      </c>
      <c r="B8" s="17">
        <f>(((SQRT(B5)*$B$3)/SQRT(3))*$C$15)/$A8</f>
        <v>103.92304845413264</v>
      </c>
      <c r="C8" s="17">
        <f>(((SQRT(C5)*$B$3)/SQRT(3))*1200)/$A8</f>
        <v>207.84609690826528</v>
      </c>
      <c r="D8" s="17">
        <f>(((SQRT(D5)*$B$3)/SQRT(3))*1200)/$A8</f>
        <v>293.9387691339814</v>
      </c>
      <c r="E8" s="105"/>
      <c r="F8" s="106" t="str">
        <f>_1754b</f>
        <v>Lechler</v>
      </c>
      <c r="G8" s="106" t="str">
        <f>_1754t</f>
        <v>ID (3) 120 03</v>
      </c>
      <c r="H8" s="106" t="str">
        <f>_1754c</f>
        <v>IS 80 03</v>
      </c>
      <c r="I8" s="132">
        <f>_1754h</f>
        <v>2</v>
      </c>
      <c r="J8" s="42" t="str">
        <f>IF(I8="","","bis")</f>
        <v>bis</v>
      </c>
      <c r="K8" s="18">
        <f>_1754i</f>
        <v>8</v>
      </c>
      <c r="L8" s="20">
        <f>(((SQRT($I8)*$B$3)/SQRT(3))*60000)/($B$12*$B$15)</f>
        <v>7.8383671769061705</v>
      </c>
      <c r="M8" s="42" t="str">
        <f>IF(L8="","","bis")</f>
        <v>bis</v>
      </c>
      <c r="N8" s="18">
        <f>(((SQRT($K8)*$B$3)/SQRT(3))*60000)/($B$12*$B$15)</f>
        <v>15.676734353812341</v>
      </c>
      <c r="O8" s="20">
        <f>_1754j</f>
        <v>2</v>
      </c>
      <c r="P8" s="42" t="str">
        <f>IF(O8="","","bis")</f>
        <v>bis</v>
      </c>
      <c r="Q8" s="18">
        <f>_1754k</f>
        <v>4</v>
      </c>
      <c r="R8" s="20">
        <f>(((SQRT($O8)*$B$3)/SQRT(3))*60000)/($B$12*$B$15)</f>
        <v>7.8383671769061705</v>
      </c>
      <c r="S8" s="42" t="str">
        <f>IF(R8="","","bis")</f>
        <v>bis</v>
      </c>
      <c r="T8" s="18">
        <f>(((SQRT($Q8)*$B$3)/SQRT(3))*60000)/($B$12*$B$15)</f>
        <v>11.085125168440815</v>
      </c>
      <c r="U8" s="20">
        <f>_1754l</f>
        <v>2</v>
      </c>
      <c r="V8" s="42" t="str">
        <f>IF(U8="","","bis")</f>
        <v>bis</v>
      </c>
      <c r="W8" s="18">
        <f>_1754m</f>
        <v>3</v>
      </c>
      <c r="X8" s="20">
        <f>(((SQRT($U8)*$B$3)/SQRT(3))*60000)/($B$12*$B$15)</f>
        <v>7.8383671769061705</v>
      </c>
      <c r="Y8" s="42" t="str">
        <f>IF(X8="","","bis")</f>
        <v>bis</v>
      </c>
      <c r="Z8" s="18">
        <f>(((SQRT($W8)*$B$3)/SQRT(3))*60000)/($B$12*$B$15)</f>
        <v>9.6</v>
      </c>
      <c r="AA8" s="133">
        <f>_1754f</f>
        <v>1</v>
      </c>
      <c r="AB8" s="42" t="str">
        <f>IF(AA8="","","bis")</f>
        <v>bis</v>
      </c>
      <c r="AC8" s="134">
        <f>_1754g</f>
        <v>8</v>
      </c>
    </row>
    <row r="9" spans="1:29" ht="18" thickBot="1" x14ac:dyDescent="0.35">
      <c r="A9" s="21">
        <v>9</v>
      </c>
      <c r="B9" s="17">
        <f>(((SQRT(B5)*$B$3)/SQRT(3))*$C$15)/$A9</f>
        <v>92.376043070340131</v>
      </c>
      <c r="C9" s="17">
        <f>(((SQRT(C5)*$B$3)/SQRT(3))*$C$15)/$A9</f>
        <v>184.75208614068026</v>
      </c>
      <c r="D9" s="17">
        <f>(((SQRT(D5)*$B$3)/SQRT(3))*$C$15)/$A9</f>
        <v>261.27890589687235</v>
      </c>
      <c r="E9" s="105"/>
      <c r="F9" s="106" t="str">
        <f>_b1754b</f>
        <v>Lechler</v>
      </c>
      <c r="G9" s="106" t="str">
        <f>_b1754t</f>
        <v>IDTA 120 03 C</v>
      </c>
      <c r="H9" s="106" t="str">
        <f>_b1754c</f>
        <v>IS 80 03</v>
      </c>
      <c r="I9" s="132">
        <f>_b1754h</f>
        <v>0</v>
      </c>
      <c r="J9" s="42" t="str">
        <f>IF(I9="","","bis")</f>
        <v>bis</v>
      </c>
      <c r="K9" s="18">
        <f>_b1754i</f>
        <v>0</v>
      </c>
      <c r="L9" s="20">
        <f>(((SQRT($I9)*$B$3)/SQRT(3))*60000)/($B$12*$B$15)</f>
        <v>0</v>
      </c>
      <c r="M9" s="42" t="str">
        <f>IF(L9="","","bis")</f>
        <v>bis</v>
      </c>
      <c r="N9" s="18">
        <f>(((SQRT($K9)*$B$3)/SQRT(3))*60000)/($B$12*$B$15)</f>
        <v>0</v>
      </c>
      <c r="O9" s="20">
        <f>_b1754j</f>
        <v>0</v>
      </c>
      <c r="P9" s="42" t="str">
        <f>IF(O9="","","bis")</f>
        <v>bis</v>
      </c>
      <c r="Q9" s="18">
        <f>_b1754k</f>
        <v>0</v>
      </c>
      <c r="R9" s="20">
        <f>(((SQRT($O9)*$B$3)/SQRT(3))*60000)/($B$12*$B$15)</f>
        <v>0</v>
      </c>
      <c r="S9" s="42" t="str">
        <f>IF(R9="","","bis")</f>
        <v>bis</v>
      </c>
      <c r="T9" s="18">
        <f>(((SQRT($Q9)*$B$3)/SQRT(3))*60000)/($B$12*$B$15)</f>
        <v>0</v>
      </c>
      <c r="U9" s="20">
        <f>_b1754l</f>
        <v>1.5</v>
      </c>
      <c r="V9" s="42" t="str">
        <f>IF(U9="","","bis")</f>
        <v>bis</v>
      </c>
      <c r="W9" s="19">
        <f>_b1754m</f>
        <v>2</v>
      </c>
      <c r="X9" s="20">
        <f>(((SQRT($U9)*$B$3)/SQRT(3))*60000)/($B$12*$B$15)</f>
        <v>6.7882250993908562</v>
      </c>
      <c r="Y9" s="42" t="str">
        <f>IF(X9="","","bis")</f>
        <v>bis</v>
      </c>
      <c r="Z9" s="18">
        <f>(((SQRT($W9)*$B$3)/SQRT(3))*60000)/($B$12*$B$15)</f>
        <v>7.8383671769061705</v>
      </c>
      <c r="AA9" s="133">
        <f>_b1754f</f>
        <v>1</v>
      </c>
      <c r="AB9" s="42" t="str">
        <f>IF(AA9="","","bis")</f>
        <v>bis</v>
      </c>
      <c r="AC9" s="134">
        <f>_b1754g</f>
        <v>8</v>
      </c>
    </row>
    <row r="10" spans="1:29" ht="18" thickBot="1" x14ac:dyDescent="0.35">
      <c r="A10" s="22">
        <v>10</v>
      </c>
      <c r="B10" s="27">
        <f>(((SQRT(B5)*$B$3)/SQRT(3))*$C$15)/$A10</f>
        <v>83.138438763306112</v>
      </c>
      <c r="C10" s="27">
        <f>(((SQRT(C5)*$B$3)/SQRT(3))*$C$15)/$A10</f>
        <v>166.27687752661222</v>
      </c>
      <c r="D10" s="27">
        <f>(((SQRT(D5)*$B$3)/SQRT(3))*$C$15)/$A10</f>
        <v>235.15101530718511</v>
      </c>
      <c r="E10" s="105"/>
      <c r="F10" s="106"/>
      <c r="G10" s="106"/>
      <c r="H10" s="106"/>
      <c r="I10" s="132"/>
      <c r="J10" s="42" t="str">
        <f>IF(I10="","","bis")</f>
        <v/>
      </c>
      <c r="K10" s="18"/>
      <c r="L10" s="20">
        <f>(((SQRT($I10)*$B$3)/SQRT(3))*60000)/($B$12*$B$15)</f>
        <v>0</v>
      </c>
      <c r="M10" s="42" t="str">
        <f>IF(L10="","","bis")</f>
        <v>bis</v>
      </c>
      <c r="N10" s="18">
        <f>(((SQRT($K10)*$B$3)/SQRT(3))*60000)/($B$12*$B$15)</f>
        <v>0</v>
      </c>
      <c r="O10" s="20"/>
      <c r="P10" s="42" t="str">
        <f>IF(O10="","","bis")</f>
        <v/>
      </c>
      <c r="Q10" s="18"/>
      <c r="R10" s="20">
        <f>(((SQRT($O10)*$B$3)/SQRT(3))*60000)/($B$12*$B$15)</f>
        <v>0</v>
      </c>
      <c r="S10" s="42" t="str">
        <f>IF(R10="","","bis")</f>
        <v>bis</v>
      </c>
      <c r="T10" s="18">
        <f>(((SQRT($Q10)*$B$3)/SQRT(3))*60000)/($B$12*$B$15)</f>
        <v>0</v>
      </c>
      <c r="U10" s="20"/>
      <c r="V10" s="42" t="str">
        <f>IF(U10="","","bis")</f>
        <v/>
      </c>
      <c r="W10" s="18"/>
      <c r="X10" s="20">
        <f>(((SQRT($U10)*$B$3)/SQRT(3))*60000)/($B$12*$B$15)</f>
        <v>0</v>
      </c>
      <c r="Y10" s="42" t="str">
        <f>IF(X10="","","bis")</f>
        <v>bis</v>
      </c>
      <c r="Z10" s="18">
        <f>(((SQRT($W10)*$B$3)/SQRT(3))*60000)/($B$12*$B$15)</f>
        <v>0</v>
      </c>
      <c r="AA10" s="133"/>
      <c r="AB10" s="42" t="str">
        <f>IF(AA10="","","bis")</f>
        <v/>
      </c>
      <c r="AC10" s="134"/>
    </row>
    <row r="11" spans="1:29" ht="18" thickBot="1" x14ac:dyDescent="0.35">
      <c r="J11" s="2"/>
    </row>
    <row r="12" spans="1:29" ht="18" thickBot="1" x14ac:dyDescent="0.35">
      <c r="A12" s="23" t="s">
        <v>56</v>
      </c>
      <c r="B12" s="8">
        <v>150</v>
      </c>
      <c r="C12" s="24"/>
      <c r="D12" s="167">
        <f>Tabelle1!A2</f>
        <v>200</v>
      </c>
    </row>
    <row r="13" spans="1:29" ht="18" thickBot="1" x14ac:dyDescent="0.35">
      <c r="A13" s="23" t="s">
        <v>57</v>
      </c>
      <c r="B13" s="25">
        <f>POWER(((SQRT(3)*$C$13)/$B$3),2)</f>
        <v>2.083333333333333</v>
      </c>
      <c r="C13" s="26">
        <f>(B12*B14*B15)/60000</f>
        <v>1</v>
      </c>
      <c r="D13" s="25">
        <f>POWER(((SQRT(3)*$E$13)/$B$3),2)</f>
        <v>16.724537037037038</v>
      </c>
      <c r="E13" s="26">
        <f>(D12*D14*D15)/60000</f>
        <v>2.8333333333333335</v>
      </c>
    </row>
    <row r="14" spans="1:29" ht="18" thickBot="1" x14ac:dyDescent="0.35">
      <c r="A14" s="23" t="s">
        <v>58</v>
      </c>
      <c r="B14" s="9">
        <v>8</v>
      </c>
      <c r="D14" s="168">
        <f>Tabelle1!A4</f>
        <v>17</v>
      </c>
    </row>
    <row r="15" spans="1:29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  <row r="17" spans="6:29" ht="18" thickBot="1" x14ac:dyDescent="0.35"/>
    <row r="18" spans="6:29" ht="18" thickBot="1" x14ac:dyDescent="0.35">
      <c r="G18" s="107" t="str">
        <f>"03"</f>
        <v>03</v>
      </c>
      <c r="H18" s="111" t="str">
        <f>"025"</f>
        <v>025</v>
      </c>
      <c r="I18" s="381">
        <v>50</v>
      </c>
      <c r="J18" s="382"/>
      <c r="K18" s="382"/>
      <c r="L18" s="382"/>
      <c r="M18" s="382"/>
      <c r="N18" s="399"/>
      <c r="O18" s="383">
        <v>75</v>
      </c>
      <c r="P18" s="383"/>
      <c r="Q18" s="383"/>
      <c r="R18" s="383"/>
      <c r="S18" s="383"/>
      <c r="T18" s="400"/>
      <c r="U18" s="384">
        <v>90</v>
      </c>
      <c r="V18" s="385"/>
      <c r="W18" s="385"/>
      <c r="X18" s="385"/>
      <c r="Y18" s="385"/>
      <c r="Z18" s="401"/>
      <c r="AA18" s="391" t="s">
        <v>53</v>
      </c>
      <c r="AB18" s="392"/>
      <c r="AC18" s="393"/>
    </row>
    <row r="19" spans="6:29" ht="18" thickBot="1" x14ac:dyDescent="0.35">
      <c r="F19" s="13" t="s">
        <v>9</v>
      </c>
      <c r="G19" s="13" t="s">
        <v>200</v>
      </c>
      <c r="H19" s="13" t="s">
        <v>198</v>
      </c>
      <c r="I19" s="402" t="s">
        <v>14</v>
      </c>
      <c r="J19" s="403"/>
      <c r="K19" s="404"/>
      <c r="L19" s="381" t="s">
        <v>55</v>
      </c>
      <c r="M19" s="382"/>
      <c r="N19" s="399"/>
      <c r="O19" s="405" t="s">
        <v>14</v>
      </c>
      <c r="P19" s="383"/>
      <c r="Q19" s="400"/>
      <c r="R19" s="405" t="s">
        <v>55</v>
      </c>
      <c r="S19" s="383"/>
      <c r="T19" s="400"/>
      <c r="U19" s="384" t="s">
        <v>14</v>
      </c>
      <c r="V19" s="385"/>
      <c r="W19" s="401"/>
      <c r="X19" s="388" t="s">
        <v>55</v>
      </c>
      <c r="Y19" s="389"/>
      <c r="Z19" s="390"/>
      <c r="AA19" s="394"/>
      <c r="AB19" s="395"/>
      <c r="AC19" s="396"/>
    </row>
    <row r="20" spans="6:29" ht="18" thickBot="1" x14ac:dyDescent="0.35">
      <c r="F20" s="106" t="str">
        <f>_1891b</f>
        <v>Agrotop</v>
      </c>
      <c r="G20" s="106" t="str">
        <f>_1891t</f>
        <v>CVI Twin 110 03</v>
      </c>
      <c r="H20" s="106" t="str">
        <f>_1891c</f>
        <v>Airmix OC 80 025</v>
      </c>
      <c r="I20" s="132">
        <f>_1891h</f>
        <v>1.5</v>
      </c>
      <c r="J20" s="42" t="str">
        <f>IF(I20="","","bis")</f>
        <v>bis</v>
      </c>
      <c r="K20" s="19">
        <f>_1891i</f>
        <v>6</v>
      </c>
      <c r="L20" s="20">
        <f>(((SQRT($I20)*$B$3)/SQRT(3))*60000)/($B$12*$B$15)</f>
        <v>6.7882250993908562</v>
      </c>
      <c r="M20" s="42" t="str">
        <f>IF(L20="","","bis")</f>
        <v>bis</v>
      </c>
      <c r="N20" s="18">
        <f>(((SQRT($K20)*$B$3)/SQRT(3))*60000)/($B$12*$B$15)</f>
        <v>13.576450198781712</v>
      </c>
      <c r="O20" s="19">
        <f>_1891j</f>
        <v>1.5</v>
      </c>
      <c r="P20" s="42" t="str">
        <f>IF(O20="","","bis")</f>
        <v>bis</v>
      </c>
      <c r="Q20" s="18">
        <f>_1891k</f>
        <v>2</v>
      </c>
      <c r="R20" s="20">
        <f>(((SQRT($O20)*$B$3)/SQRT(3))*60000)/($B$12*$B$15)</f>
        <v>6.7882250993908562</v>
      </c>
      <c r="S20" s="42" t="str">
        <f>IF(R20="","","bis")</f>
        <v>bis</v>
      </c>
      <c r="T20" s="18">
        <f>(((SQRT($Q20)*$B$3)/SQRT(3))*60000)/($B$12*$B$15)</f>
        <v>7.8383671769061705</v>
      </c>
      <c r="U20" s="20">
        <f>_1891l</f>
        <v>1.5</v>
      </c>
      <c r="V20" s="42" t="str">
        <f>IF(U20="","","bis")</f>
        <v>bis</v>
      </c>
      <c r="W20" s="19">
        <f>_1891m</f>
        <v>1.5</v>
      </c>
      <c r="X20" s="20">
        <f>(((SQRT($U20)*$B$3)/SQRT(3))*60000)/($B$12*$B$15)</f>
        <v>6.7882250993908562</v>
      </c>
      <c r="Y20" s="42" t="str">
        <f>IF(X20="","","bis")</f>
        <v>bis</v>
      </c>
      <c r="Z20" s="19">
        <f>(((SQRT($W20)*$B$3)/SQRT(3))*60000)/($B$12*$B$15)</f>
        <v>6.7882250993908562</v>
      </c>
      <c r="AA20" s="133">
        <f>_1891f</f>
        <v>1.5</v>
      </c>
      <c r="AB20" s="42" t="str">
        <f>IF(AA20="","","bis")</f>
        <v>bis</v>
      </c>
      <c r="AC20" s="134">
        <f>_1891g</f>
        <v>6</v>
      </c>
    </row>
    <row r="21" spans="6:29" ht="18" thickBot="1" x14ac:dyDescent="0.35">
      <c r="F21" s="106"/>
      <c r="G21" s="106"/>
      <c r="H21" s="106"/>
      <c r="I21" s="132"/>
      <c r="J21" s="42" t="str">
        <f>IF(I21="","","bis")</f>
        <v/>
      </c>
      <c r="K21" s="18"/>
      <c r="L21" s="20">
        <f>(((SQRT($I21)*$B$3)/SQRT(3))*60000)/($B$12*$B$15)</f>
        <v>0</v>
      </c>
      <c r="M21" s="42" t="str">
        <f>IF(L21="","","bis")</f>
        <v>bis</v>
      </c>
      <c r="N21" s="18">
        <f>(((SQRT($K21)*$B$3)/SQRT(3))*60000)/($B$12*$B$15)</f>
        <v>0</v>
      </c>
      <c r="O21" s="20"/>
      <c r="P21" s="42" t="str">
        <f>IF(O21="","","bis")</f>
        <v/>
      </c>
      <c r="Q21" s="18"/>
      <c r="R21" s="20">
        <f>(((SQRT($O21)*$B$3)/SQRT(3))*60000)/($B$12*$B$15)</f>
        <v>0</v>
      </c>
      <c r="S21" s="42" t="str">
        <f>IF(R21="","","bis")</f>
        <v>bis</v>
      </c>
      <c r="T21" s="18">
        <f>(((SQRT($Q21)*$B$3)/SQRT(3))*60000)/($B$12*$B$15)</f>
        <v>0</v>
      </c>
      <c r="U21" s="20"/>
      <c r="V21" s="42" t="str">
        <f>IF(U21="","","bis")</f>
        <v/>
      </c>
      <c r="W21" s="18"/>
      <c r="X21" s="20">
        <f>(((SQRT($U21)*$B$3)/SQRT(3))*60000)/($B$12*$B$15)</f>
        <v>0</v>
      </c>
      <c r="Y21" s="42" t="str">
        <f>IF(X21="","","bis")</f>
        <v>bis</v>
      </c>
      <c r="Z21" s="18">
        <f>(((SQRT($W21)*$B$3)/SQRT(3))*60000)/($B$12*$B$15)</f>
        <v>0</v>
      </c>
      <c r="AA21" s="133"/>
      <c r="AB21" s="42" t="str">
        <f>IF(AA21="","","bis")</f>
        <v/>
      </c>
      <c r="AC21" s="134"/>
    </row>
    <row r="22" spans="6:29" ht="18" thickBot="1" x14ac:dyDescent="0.35">
      <c r="F22" s="106"/>
      <c r="G22" s="106"/>
      <c r="H22" s="106"/>
      <c r="I22" s="132"/>
      <c r="J22" s="42" t="str">
        <f>IF(I22="","","bis")</f>
        <v/>
      </c>
      <c r="K22" s="18"/>
      <c r="L22" s="20">
        <f>(((SQRT($I22)*$B$3)/SQRT(3))*60000)/($B$12*$B$15)</f>
        <v>0</v>
      </c>
      <c r="M22" s="42" t="str">
        <f>IF(L22="","","bis")</f>
        <v>bis</v>
      </c>
      <c r="N22" s="18">
        <f>(((SQRT($K22)*$B$3)/SQRT(3))*60000)/($B$12*$B$15)</f>
        <v>0</v>
      </c>
      <c r="O22" s="20"/>
      <c r="P22" s="42" t="str">
        <f>IF(O22="","","bis")</f>
        <v/>
      </c>
      <c r="Q22" s="18"/>
      <c r="R22" s="20">
        <f>(((SQRT($O22)*$B$3)/SQRT(3))*60000)/($B$12*$B$15)</f>
        <v>0</v>
      </c>
      <c r="S22" s="42" t="str">
        <f>IF(R22="","","bis")</f>
        <v>bis</v>
      </c>
      <c r="T22" s="18">
        <f>(((SQRT($Q22)*$B$3)/SQRT(3))*60000)/($B$12*$B$15)</f>
        <v>0</v>
      </c>
      <c r="U22" s="20"/>
      <c r="V22" s="42" t="str">
        <f>IF(U22="","","bis")</f>
        <v/>
      </c>
      <c r="W22" s="18"/>
      <c r="X22" s="20">
        <f>(((SQRT($U22)*$B$3)/SQRT(3))*60000)/($B$12*$B$15)</f>
        <v>0</v>
      </c>
      <c r="Y22" s="42" t="str">
        <f>IF(X22="","","bis")</f>
        <v>bis</v>
      </c>
      <c r="Z22" s="18">
        <f>(((SQRT($W22)*$B$3)/SQRT(3))*60000)/($B$12*$B$15)</f>
        <v>0</v>
      </c>
      <c r="AA22" s="133"/>
      <c r="AB22" s="42" t="str">
        <f>IF(AA22="","","bis")</f>
        <v/>
      </c>
      <c r="AC22" s="134"/>
    </row>
    <row r="23" spans="6:29" ht="18" thickBot="1" x14ac:dyDescent="0.35">
      <c r="F23" s="106"/>
      <c r="G23" s="106"/>
      <c r="H23" s="106"/>
      <c r="I23" s="132"/>
      <c r="J23" s="42" t="str">
        <f>IF(I23="","","bis")</f>
        <v/>
      </c>
      <c r="K23" s="18"/>
      <c r="L23" s="20">
        <f>(((SQRT($I23)*$B$3)/SQRT(3))*60000)/($B$12*$B$15)</f>
        <v>0</v>
      </c>
      <c r="M23" s="42" t="str">
        <f>IF(L23="","","bis")</f>
        <v>bis</v>
      </c>
      <c r="N23" s="18">
        <f>(((SQRT($K23)*$B$3)/SQRT(3))*60000)/($B$12*$B$15)</f>
        <v>0</v>
      </c>
      <c r="O23" s="20"/>
      <c r="P23" s="42" t="str">
        <f>IF(O23="","","bis")</f>
        <v/>
      </c>
      <c r="Q23" s="18"/>
      <c r="R23" s="20">
        <f>(((SQRT($O23)*$B$3)/SQRT(3))*60000)/($B$12*$B$15)</f>
        <v>0</v>
      </c>
      <c r="S23" s="42" t="str">
        <f>IF(R23="","","bis")</f>
        <v>bis</v>
      </c>
      <c r="T23" s="18">
        <f>(((SQRT($Q23)*$B$3)/SQRT(3))*60000)/($B$12*$B$15)</f>
        <v>0</v>
      </c>
      <c r="U23" s="20"/>
      <c r="V23" s="42" t="str">
        <f>IF(U23="","","bis")</f>
        <v/>
      </c>
      <c r="W23" s="19"/>
      <c r="X23" s="20">
        <f>(((SQRT($U23)*$B$3)/SQRT(3))*60000)/($B$12*$B$15)</f>
        <v>0</v>
      </c>
      <c r="Y23" s="42" t="str">
        <f>IF(X23="","","bis")</f>
        <v>bis</v>
      </c>
      <c r="Z23" s="18">
        <f>(((SQRT($W23)*$B$3)/SQRT(3))*60000)/($B$12*$B$15)</f>
        <v>0</v>
      </c>
      <c r="AA23" s="133"/>
      <c r="AB23" s="42" t="str">
        <f>IF(AA23="","","bis")</f>
        <v/>
      </c>
      <c r="AC23" s="134"/>
    </row>
    <row r="24" spans="6:29" ht="18" thickBot="1" x14ac:dyDescent="0.35">
      <c r="F24" s="106"/>
      <c r="G24" s="106"/>
      <c r="H24" s="106"/>
      <c r="I24" s="132"/>
      <c r="J24" s="42" t="str">
        <f>IF(I24="","","bis")</f>
        <v/>
      </c>
      <c r="K24" s="18"/>
      <c r="L24" s="20">
        <f>(((SQRT($I24)*$B$3)/SQRT(3))*60000)/($B$12*$B$15)</f>
        <v>0</v>
      </c>
      <c r="M24" s="42" t="str">
        <f>IF(L24="","","bis")</f>
        <v>bis</v>
      </c>
      <c r="N24" s="18">
        <f>(((SQRT($K24)*$B$3)/SQRT(3))*60000)/($B$12*$B$15)</f>
        <v>0</v>
      </c>
      <c r="O24" s="20"/>
      <c r="P24" s="42" t="str">
        <f>IF(O24="","","bis")</f>
        <v/>
      </c>
      <c r="Q24" s="18"/>
      <c r="R24" s="20">
        <f>(((SQRT($O24)*$B$3)/SQRT(3))*60000)/($B$12*$B$15)</f>
        <v>0</v>
      </c>
      <c r="S24" s="42" t="str">
        <f>IF(R24="","","bis")</f>
        <v>bis</v>
      </c>
      <c r="T24" s="18">
        <f>(((SQRT($Q24)*$B$3)/SQRT(3))*60000)/($B$12*$B$15)</f>
        <v>0</v>
      </c>
      <c r="U24" s="20"/>
      <c r="V24" s="42" t="str">
        <f>IF(U24="","","bis")</f>
        <v/>
      </c>
      <c r="W24" s="18"/>
      <c r="X24" s="20">
        <f>(((SQRT($U24)*$B$3)/SQRT(3))*60000)/($B$12*$B$15)</f>
        <v>0</v>
      </c>
      <c r="Y24" s="42" t="str">
        <f>IF(X24="","","bis")</f>
        <v>bis</v>
      </c>
      <c r="Z24" s="18">
        <f>(((SQRT($W24)*$B$3)/SQRT(3))*60000)/($B$12*$B$15)</f>
        <v>0</v>
      </c>
      <c r="AA24" s="133"/>
      <c r="AB24" s="42" t="str">
        <f>IF(AA24="","","bis")</f>
        <v/>
      </c>
      <c r="AC24" s="134"/>
    </row>
  </sheetData>
  <sheetProtection algorithmName="SHA-512" hashValue="NeEt9PCUgchsOWCLfLTpr11CC7NjIHPupDN6a9fVIJ4tLE29fvRFOyp+ZUbmIkfPhoC5AQxYAAiAsYEX59M3mQ==" saltValue="PEBZp8LIRca8FtSxE2cg3g==" spinCount="100000" sheet="1" objects="1" scenarios="1"/>
  <mergeCells count="21">
    <mergeCell ref="B3:D3"/>
    <mergeCell ref="I4:N4"/>
    <mergeCell ref="O4:T4"/>
    <mergeCell ref="U4:Z4"/>
    <mergeCell ref="AA4:AC5"/>
    <mergeCell ref="I5:K5"/>
    <mergeCell ref="L5:N5"/>
    <mergeCell ref="O5:Q5"/>
    <mergeCell ref="R5:T5"/>
    <mergeCell ref="U5:W5"/>
    <mergeCell ref="X5:Z5"/>
    <mergeCell ref="AA18:AC19"/>
    <mergeCell ref="I19:K19"/>
    <mergeCell ref="L19:N19"/>
    <mergeCell ref="O19:Q19"/>
    <mergeCell ref="R19:T19"/>
    <mergeCell ref="U19:W19"/>
    <mergeCell ref="X19:Z19"/>
    <mergeCell ref="I18:N18"/>
    <mergeCell ref="O18:T18"/>
    <mergeCell ref="U18:Z18"/>
  </mergeCells>
  <conditionalFormatting sqref="B9 E6:E10">
    <cfRule type="cellIs" dxfId="441" priority="8" operator="greaterThan">
      <formula>$B$12</formula>
    </cfRule>
  </conditionalFormatting>
  <conditionalFormatting sqref="C6">
    <cfRule type="cellIs" dxfId="440" priority="14" operator="greaterThan">
      <formula>$B$12</formula>
    </cfRule>
  </conditionalFormatting>
  <conditionalFormatting sqref="B6">
    <cfRule type="cellIs" dxfId="439" priority="15" operator="greaterThan">
      <formula>$B$12</formula>
    </cfRule>
  </conditionalFormatting>
  <conditionalFormatting sqref="B7">
    <cfRule type="cellIs" dxfId="438" priority="12" operator="greaterThan">
      <formula>$B$12</formula>
    </cfRule>
  </conditionalFormatting>
  <conditionalFormatting sqref="D10">
    <cfRule type="cellIs" dxfId="437" priority="1" operator="greaterThan">
      <formula>$B$12</formula>
    </cfRule>
  </conditionalFormatting>
  <conditionalFormatting sqref="D6">
    <cfRule type="cellIs" dxfId="436" priority="13" operator="greaterThan">
      <formula>$B$12</formula>
    </cfRule>
  </conditionalFormatting>
  <conditionalFormatting sqref="C7">
    <cfRule type="cellIs" dxfId="435" priority="11" operator="greaterThan">
      <formula>$B$12</formula>
    </cfRule>
  </conditionalFormatting>
  <conditionalFormatting sqref="D7">
    <cfRule type="cellIs" dxfId="434" priority="10" operator="greaterThan">
      <formula>$B$12</formula>
    </cfRule>
  </conditionalFormatting>
  <conditionalFormatting sqref="B8">
    <cfRule type="cellIs" dxfId="433" priority="9" operator="greaterThan">
      <formula>$B$12</formula>
    </cfRule>
  </conditionalFormatting>
  <conditionalFormatting sqref="B10">
    <cfRule type="cellIs" dxfId="432" priority="7" operator="greaterThan">
      <formula>$B$12</formula>
    </cfRule>
  </conditionalFormatting>
  <conditionalFormatting sqref="C8">
    <cfRule type="cellIs" dxfId="431" priority="6" operator="greaterThan">
      <formula>$B$12</formula>
    </cfRule>
  </conditionalFormatting>
  <conditionalFormatting sqref="D8">
    <cfRule type="cellIs" dxfId="430" priority="5" operator="greaterThan">
      <formula>$B$12</formula>
    </cfRule>
  </conditionalFormatting>
  <conditionalFormatting sqref="C9">
    <cfRule type="cellIs" dxfId="429" priority="4" operator="greaterThan">
      <formula>$B$12</formula>
    </cfRule>
  </conditionalFormatting>
  <conditionalFormatting sqref="D9">
    <cfRule type="cellIs" dxfId="428" priority="3" operator="greaterThan">
      <formula>$B$12</formula>
    </cfRule>
  </conditionalFormatting>
  <conditionalFormatting sqref="C10">
    <cfRule type="cellIs" dxfId="42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6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.88671875" style="11" bestFit="1" customWidth="1"/>
    <col min="8" max="8" width="23.109375" style="11" bestFit="1" customWidth="1"/>
    <col min="9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9" x14ac:dyDescent="0.3">
      <c r="A1" s="10"/>
    </row>
    <row r="2" spans="1:29" ht="18" thickBot="1" x14ac:dyDescent="0.35"/>
    <row r="3" spans="1:29" ht="18" thickBot="1" x14ac:dyDescent="0.35">
      <c r="A3" s="34" t="s">
        <v>59</v>
      </c>
      <c r="B3" s="430">
        <v>1.2</v>
      </c>
      <c r="C3" s="430"/>
      <c r="D3" s="431"/>
    </row>
    <row r="4" spans="1:29" ht="18" thickBot="1" x14ac:dyDescent="0.35">
      <c r="G4" s="107" t="str">
        <f>"03"</f>
        <v>03</v>
      </c>
      <c r="H4" s="107" t="str">
        <f>"03"</f>
        <v>03</v>
      </c>
      <c r="I4" s="381">
        <v>50</v>
      </c>
      <c r="J4" s="382"/>
      <c r="K4" s="382"/>
      <c r="L4" s="382"/>
      <c r="M4" s="382"/>
      <c r="N4" s="399"/>
      <c r="O4" s="383">
        <v>75</v>
      </c>
      <c r="P4" s="383"/>
      <c r="Q4" s="383"/>
      <c r="R4" s="383"/>
      <c r="S4" s="383"/>
      <c r="T4" s="400"/>
      <c r="U4" s="384">
        <v>90</v>
      </c>
      <c r="V4" s="385"/>
      <c r="W4" s="385"/>
      <c r="X4" s="385"/>
      <c r="Y4" s="385"/>
      <c r="Z4" s="401"/>
      <c r="AA4" s="391" t="s">
        <v>53</v>
      </c>
      <c r="AB4" s="392"/>
      <c r="AC4" s="393"/>
    </row>
    <row r="5" spans="1:29" ht="18" thickBot="1" x14ac:dyDescent="0.35">
      <c r="A5" s="13" t="s">
        <v>52</v>
      </c>
      <c r="B5" s="14">
        <v>1</v>
      </c>
      <c r="C5" s="15">
        <v>4</v>
      </c>
      <c r="D5" s="15">
        <v>8</v>
      </c>
      <c r="E5" s="104"/>
      <c r="F5" s="13" t="s">
        <v>9</v>
      </c>
      <c r="G5" s="13" t="s">
        <v>200</v>
      </c>
      <c r="H5" s="13" t="s">
        <v>223</v>
      </c>
      <c r="I5" s="402" t="s">
        <v>14</v>
      </c>
      <c r="J5" s="403"/>
      <c r="K5" s="404"/>
      <c r="L5" s="381" t="s">
        <v>55</v>
      </c>
      <c r="M5" s="382"/>
      <c r="N5" s="399"/>
      <c r="O5" s="405" t="s">
        <v>14</v>
      </c>
      <c r="P5" s="383"/>
      <c r="Q5" s="400"/>
      <c r="R5" s="405" t="s">
        <v>55</v>
      </c>
      <c r="S5" s="383"/>
      <c r="T5" s="400"/>
      <c r="U5" s="384" t="s">
        <v>14</v>
      </c>
      <c r="V5" s="385"/>
      <c r="W5" s="401"/>
      <c r="X5" s="388" t="s">
        <v>55</v>
      </c>
      <c r="Y5" s="389"/>
      <c r="Z5" s="390"/>
      <c r="AA5" s="394"/>
      <c r="AB5" s="395"/>
      <c r="AC5" s="396"/>
    </row>
    <row r="6" spans="1:29" ht="18" thickBot="1" x14ac:dyDescent="0.35">
      <c r="A6" s="16">
        <v>6</v>
      </c>
      <c r="B6" s="17">
        <f>(((SQRT(B5)*$B$3)/SQRT(3))*$C$15)/$A6</f>
        <v>138.5640646055102</v>
      </c>
      <c r="C6" s="17">
        <f>(((SQRT(C5)*$B$3)/SQRT(3))*$C$15)/$A6</f>
        <v>277.12812921102039</v>
      </c>
      <c r="D6" s="17">
        <f>(((SQRT(D5)*$B$3)/SQRT(3))*$C$15)/$A6</f>
        <v>391.91835884530855</v>
      </c>
      <c r="E6" s="105"/>
      <c r="F6" s="106" t="str">
        <f>_2020b</f>
        <v>Lechler</v>
      </c>
      <c r="G6" s="106" t="str">
        <f>_2020c</f>
        <v>IDTA 120 03 C</v>
      </c>
      <c r="H6" s="106" t="str">
        <f>_2020t</f>
        <v>ID (3) 120 03</v>
      </c>
      <c r="I6" s="132">
        <f>_2020h</f>
        <v>0</v>
      </c>
      <c r="J6" s="42" t="str">
        <f>IF(I6="","","bis")</f>
        <v>bis</v>
      </c>
      <c r="K6" s="19">
        <f>_2020i</f>
        <v>0</v>
      </c>
      <c r="L6" s="20">
        <f>(((SQRT($I6)*$B$3)/SQRT(3))*60000)/($B$12*$B$15)</f>
        <v>0</v>
      </c>
      <c r="M6" s="42" t="str">
        <f>IF(L6="","","bis")</f>
        <v>bis</v>
      </c>
      <c r="N6" s="18">
        <f>(((SQRT($K6)*$B$3)/SQRT(3))*60000)/($B$12*$B$15)</f>
        <v>0</v>
      </c>
      <c r="O6" s="19">
        <f>_2020j</f>
        <v>0</v>
      </c>
      <c r="P6" s="42" t="str">
        <f>IF(O6="","","bis")</f>
        <v>bis</v>
      </c>
      <c r="Q6" s="18">
        <f>_2020k</f>
        <v>0</v>
      </c>
      <c r="R6" s="20">
        <f>(((SQRT($O6)*$B$3)/SQRT(3))*60000)/($B$12*$B$15)</f>
        <v>0</v>
      </c>
      <c r="S6" s="42" t="str">
        <f>IF(R6="","","bis")</f>
        <v>bis</v>
      </c>
      <c r="T6" s="18">
        <f>(((SQRT($Q6)*$B$3)/SQRT(3))*60000)/($B$12*$B$15)</f>
        <v>0</v>
      </c>
      <c r="U6" s="20">
        <f>_2020l</f>
        <v>1.5</v>
      </c>
      <c r="V6" s="42" t="str">
        <f>IF(U6="","","bis")</f>
        <v>bis</v>
      </c>
      <c r="W6" s="19">
        <f>_2020m</f>
        <v>2</v>
      </c>
      <c r="X6" s="20">
        <f>(((SQRT($U6)*$B$3)/SQRT(3))*60000)/($B$12*$B$15)</f>
        <v>6.7882250993908562</v>
      </c>
      <c r="Y6" s="42" t="str">
        <f>IF(X6="","","bis")</f>
        <v>bis</v>
      </c>
      <c r="Z6" s="19">
        <f>(((SQRT($W6)*$B$3)/SQRT(3))*60000)/($B$12*$B$15)</f>
        <v>7.8383671769061705</v>
      </c>
      <c r="AA6" s="133">
        <f>_2020f</f>
        <v>1.5</v>
      </c>
      <c r="AB6" s="42" t="str">
        <f>IF(AA6="","","bis")</f>
        <v>bis</v>
      </c>
      <c r="AC6" s="134">
        <f>_2020g</f>
        <v>8</v>
      </c>
    </row>
    <row r="7" spans="1:29" ht="18" thickBot="1" x14ac:dyDescent="0.35">
      <c r="A7" s="21">
        <v>7</v>
      </c>
      <c r="B7" s="17">
        <f>(((SQRT(B5)*$B$3)/SQRT(3))*$C$15)/$A7</f>
        <v>118.76919823329445</v>
      </c>
      <c r="C7" s="17">
        <f>(((SQRT(C5)*$B$3)/SQRT(3))*$C$15)/$A7</f>
        <v>237.53839646658889</v>
      </c>
      <c r="D7" s="17">
        <f>(((SQRT(D5)*$B$3)/SQRT(3))*$C$15)/$A7</f>
        <v>335.93002186740733</v>
      </c>
      <c r="E7" s="105"/>
      <c r="F7" s="106" t="str">
        <f>_1932b</f>
        <v>Lechler</v>
      </c>
      <c r="G7" s="106" t="str">
        <f>_1932c</f>
        <v>IDKT 120 03</v>
      </c>
      <c r="H7" s="106" t="str">
        <f>_1932t</f>
        <v>IDKN 120 03</v>
      </c>
      <c r="I7" s="132">
        <f>_1932h</f>
        <v>1</v>
      </c>
      <c r="J7" s="42" t="str">
        <f>IF(I7="","","bis")</f>
        <v>bis</v>
      </c>
      <c r="K7" s="19">
        <f>_1932i</f>
        <v>3</v>
      </c>
      <c r="L7" s="20">
        <f>(((SQRT($I7)*$B$3)/SQRT(3))*60000)/($B$12*$B$15)</f>
        <v>5.5425625842204074</v>
      </c>
      <c r="M7" s="42" t="str">
        <f>IF(L7="","","bis")</f>
        <v>bis</v>
      </c>
      <c r="N7" s="18">
        <f>(((SQRT($K7)*$B$3)/SQRT(3))*60000)/($B$12*$B$15)</f>
        <v>9.6</v>
      </c>
      <c r="O7" s="19">
        <f>_1932j</f>
        <v>1</v>
      </c>
      <c r="P7" s="42" t="str">
        <f>IF(O7="","","bis")</f>
        <v>bis</v>
      </c>
      <c r="Q7" s="18">
        <f>_1932k</f>
        <v>1.5</v>
      </c>
      <c r="R7" s="20">
        <f>(((SQRT($O7)*$B$3)/SQRT(3))*60000)/($B$12*$B$15)</f>
        <v>5.5425625842204074</v>
      </c>
      <c r="S7" s="42" t="str">
        <f>IF(R7="","","bis")</f>
        <v>bis</v>
      </c>
      <c r="T7" s="18">
        <f>(((SQRT($Q7)*$B$3)/SQRT(3))*60000)/($B$12*$B$15)</f>
        <v>6.7882250993908562</v>
      </c>
      <c r="U7" s="20">
        <f>_1932l</f>
        <v>1</v>
      </c>
      <c r="V7" s="42" t="str">
        <f>IF(U7="","","bis")</f>
        <v>bis</v>
      </c>
      <c r="W7" s="19">
        <f>_1932m</f>
        <v>1</v>
      </c>
      <c r="X7" s="20">
        <f>(((SQRT($U7)*$B$3)/SQRT(3))*60000)/($B$12*$B$15)</f>
        <v>5.5425625842204074</v>
      </c>
      <c r="Y7" s="42" t="str">
        <f>IF(X7="","","bis")</f>
        <v>bis</v>
      </c>
      <c r="Z7" s="18">
        <f>(((SQRT($W7)*$B$3)/SQRT(3))*60000)/($B$12*$B$15)</f>
        <v>5.5425625842204074</v>
      </c>
      <c r="AA7" s="133">
        <f>_1932f</f>
        <v>1</v>
      </c>
      <c r="AB7" s="42" t="str">
        <f>IF(AA7="","","bis")</f>
        <v>bis</v>
      </c>
      <c r="AC7" s="134">
        <f>_1932g</f>
        <v>6</v>
      </c>
    </row>
    <row r="8" spans="1:29" ht="18" thickBot="1" x14ac:dyDescent="0.35">
      <c r="A8" s="21">
        <v>8</v>
      </c>
      <c r="B8" s="17">
        <f>(((SQRT(B5)*$B$3)/SQRT(3))*$C$15)/$A8</f>
        <v>103.92304845413264</v>
      </c>
      <c r="C8" s="17">
        <f>(((SQRT(C5)*$B$3)/SQRT(3))*1200)/$A8</f>
        <v>207.84609690826528</v>
      </c>
      <c r="D8" s="17">
        <f>(((SQRT(D5)*$B$3)/SQRT(3))*1200)/$A8</f>
        <v>293.9387691339814</v>
      </c>
      <c r="E8" s="105"/>
      <c r="F8" s="106"/>
      <c r="G8" s="106"/>
      <c r="H8" s="106"/>
      <c r="I8" s="132"/>
      <c r="J8" s="42" t="str">
        <f>IF(I8="","","bis")</f>
        <v/>
      </c>
      <c r="K8" s="18"/>
      <c r="L8" s="20">
        <f>(((SQRT($I8)*$B$3)/SQRT(3))*60000)/($B$12*$B$15)</f>
        <v>0</v>
      </c>
      <c r="M8" s="42" t="str">
        <f>IF(L8="","","bis")</f>
        <v>bis</v>
      </c>
      <c r="N8" s="18">
        <f>(((SQRT($K8)*$B$3)/SQRT(3))*60000)/($B$12*$B$15)</f>
        <v>0</v>
      </c>
      <c r="O8" s="20"/>
      <c r="P8" s="42" t="str">
        <f>IF(O8="","","bis")</f>
        <v/>
      </c>
      <c r="Q8" s="18"/>
      <c r="R8" s="20">
        <f>(((SQRT($O8)*$B$3)/SQRT(3))*60000)/($B$12*$B$15)</f>
        <v>0</v>
      </c>
      <c r="S8" s="42" t="str">
        <f>IF(R8="","","bis")</f>
        <v>bis</v>
      </c>
      <c r="T8" s="18">
        <f>(((SQRT($Q8)*$B$3)/SQRT(3))*60000)/($B$12*$B$15)</f>
        <v>0</v>
      </c>
      <c r="U8" s="20"/>
      <c r="V8" s="42" t="str">
        <f>IF(U8="","","bis")</f>
        <v/>
      </c>
      <c r="W8" s="18"/>
      <c r="X8" s="20">
        <f>(((SQRT($U8)*$B$3)/SQRT(3))*60000)/($B$12*$B$15)</f>
        <v>0</v>
      </c>
      <c r="Y8" s="42" t="str">
        <f>IF(X8="","","bis")</f>
        <v>bis</v>
      </c>
      <c r="Z8" s="18">
        <f>(((SQRT($W8)*$B$3)/SQRT(3))*60000)/($B$12*$B$15)</f>
        <v>0</v>
      </c>
      <c r="AA8" s="133"/>
      <c r="AB8" s="42" t="str">
        <f>IF(AA8="","","bis")</f>
        <v/>
      </c>
      <c r="AC8" s="134"/>
    </row>
    <row r="9" spans="1:29" ht="18" thickBot="1" x14ac:dyDescent="0.35">
      <c r="A9" s="21">
        <v>9</v>
      </c>
      <c r="B9" s="17">
        <f>(((SQRT(B5)*$B$3)/SQRT(3))*$C$15)/$A9</f>
        <v>92.376043070340131</v>
      </c>
      <c r="C9" s="17">
        <f>(((SQRT(C5)*$B$3)/SQRT(3))*$C$15)/$A9</f>
        <v>184.75208614068026</v>
      </c>
      <c r="D9" s="17">
        <f>(((SQRT(D5)*$B$3)/SQRT(3))*$C$15)/$A9</f>
        <v>261.27890589687235</v>
      </c>
      <c r="E9" s="105"/>
      <c r="F9" s="106"/>
      <c r="G9" s="106"/>
      <c r="H9" s="106"/>
      <c r="I9" s="132"/>
      <c r="J9" s="42" t="str">
        <f>IF(I9="","","bis")</f>
        <v/>
      </c>
      <c r="K9" s="18"/>
      <c r="L9" s="20">
        <f>(((SQRT($I9)*$B$3)/SQRT(3))*60000)/($B$12*$B$15)</f>
        <v>0</v>
      </c>
      <c r="M9" s="42" t="str">
        <f>IF(L9="","","bis")</f>
        <v>bis</v>
      </c>
      <c r="N9" s="18">
        <f>(((SQRT($K9)*$B$3)/SQRT(3))*60000)/($B$12*$B$15)</f>
        <v>0</v>
      </c>
      <c r="O9" s="20"/>
      <c r="P9" s="42" t="str">
        <f>IF(O9="","","bis")</f>
        <v/>
      </c>
      <c r="Q9" s="18"/>
      <c r="R9" s="20">
        <f>(((SQRT($O9)*$B$3)/SQRT(3))*60000)/($B$12*$B$15)</f>
        <v>0</v>
      </c>
      <c r="S9" s="42" t="str">
        <f>IF(R9="","","bis")</f>
        <v>bis</v>
      </c>
      <c r="T9" s="18">
        <f>(((SQRT($Q9)*$B$3)/SQRT(3))*60000)/($B$12*$B$15)</f>
        <v>0</v>
      </c>
      <c r="U9" s="20"/>
      <c r="V9" s="42" t="str">
        <f>IF(U9="","","bis")</f>
        <v/>
      </c>
      <c r="W9" s="19"/>
      <c r="X9" s="20">
        <f>(((SQRT($U9)*$B$3)/SQRT(3))*60000)/($B$12*$B$15)</f>
        <v>0</v>
      </c>
      <c r="Y9" s="42" t="str">
        <f>IF(X9="","","bis")</f>
        <v>bis</v>
      </c>
      <c r="Z9" s="18">
        <f>(((SQRT($W9)*$B$3)/SQRT(3))*60000)/($B$12*$B$15)</f>
        <v>0</v>
      </c>
      <c r="AA9" s="133"/>
      <c r="AB9" s="42" t="str">
        <f>IF(AA9="","","bis")</f>
        <v/>
      </c>
      <c r="AC9" s="134"/>
    </row>
    <row r="10" spans="1:29" ht="18" thickBot="1" x14ac:dyDescent="0.35">
      <c r="A10" s="22">
        <v>10</v>
      </c>
      <c r="B10" s="27">
        <f>(((SQRT(B5)*$B$3)/SQRT(3))*$C$15)/$A10</f>
        <v>83.138438763306112</v>
      </c>
      <c r="C10" s="27">
        <f>(((SQRT(C5)*$B$3)/SQRT(3))*$C$15)/$A10</f>
        <v>166.27687752661222</v>
      </c>
      <c r="D10" s="27">
        <f>(((SQRT(D5)*$B$3)/SQRT(3))*$C$15)/$A10</f>
        <v>235.15101530718511</v>
      </c>
      <c r="E10" s="105"/>
      <c r="F10" s="106"/>
      <c r="G10" s="106"/>
      <c r="H10" s="106"/>
      <c r="I10" s="132"/>
      <c r="J10" s="42" t="str">
        <f>IF(I10="","","bis")</f>
        <v/>
      </c>
      <c r="K10" s="18"/>
      <c r="L10" s="20">
        <f>(((SQRT($I10)*$B$3)/SQRT(3))*60000)/($B$12*$B$15)</f>
        <v>0</v>
      </c>
      <c r="M10" s="42" t="str">
        <f>IF(L10="","","bis")</f>
        <v>bis</v>
      </c>
      <c r="N10" s="18">
        <f>(((SQRT($K10)*$B$3)/SQRT(3))*60000)/($B$12*$B$15)</f>
        <v>0</v>
      </c>
      <c r="O10" s="20"/>
      <c r="P10" s="42" t="str">
        <f>IF(O10="","","bis")</f>
        <v/>
      </c>
      <c r="Q10" s="18"/>
      <c r="R10" s="20">
        <f>(((SQRT($O10)*$B$3)/SQRT(3))*60000)/($B$12*$B$15)</f>
        <v>0</v>
      </c>
      <c r="S10" s="42" t="str">
        <f>IF(R10="","","bis")</f>
        <v>bis</v>
      </c>
      <c r="T10" s="18">
        <f>(((SQRT($Q10)*$B$3)/SQRT(3))*60000)/($B$12*$B$15)</f>
        <v>0</v>
      </c>
      <c r="U10" s="20"/>
      <c r="V10" s="42" t="str">
        <f>IF(U10="","","bis")</f>
        <v/>
      </c>
      <c r="W10" s="18"/>
      <c r="X10" s="20">
        <f>(((SQRT($U10)*$B$3)/SQRT(3))*60000)/($B$12*$B$15)</f>
        <v>0</v>
      </c>
      <c r="Y10" s="42" t="str">
        <f>IF(X10="","","bis")</f>
        <v>bis</v>
      </c>
      <c r="Z10" s="18">
        <f>(((SQRT($W10)*$B$3)/SQRT(3))*60000)/($B$12*$B$15)</f>
        <v>0</v>
      </c>
      <c r="AA10" s="133"/>
      <c r="AB10" s="42" t="str">
        <f>IF(AA10="","","bis")</f>
        <v/>
      </c>
      <c r="AC10" s="134"/>
    </row>
    <row r="11" spans="1:29" ht="18" thickBot="1" x14ac:dyDescent="0.35">
      <c r="J11" s="2"/>
    </row>
    <row r="12" spans="1:29" ht="18" thickBot="1" x14ac:dyDescent="0.35">
      <c r="A12" s="23" t="s">
        <v>56</v>
      </c>
      <c r="B12" s="8">
        <v>150</v>
      </c>
      <c r="C12" s="24"/>
      <c r="D12" s="167">
        <f>Tabelle1!A2</f>
        <v>200</v>
      </c>
    </row>
    <row r="13" spans="1:29" ht="18" thickBot="1" x14ac:dyDescent="0.35">
      <c r="A13" s="23" t="s">
        <v>57</v>
      </c>
      <c r="B13" s="25">
        <f>POWER(((SQRT(3)*$C$13)/$B$3),2)</f>
        <v>2.083333333333333</v>
      </c>
      <c r="C13" s="26">
        <f>(B12*B14*B15)/60000</f>
        <v>1</v>
      </c>
      <c r="D13" s="25">
        <f>POWER(((SQRT(3)*$E$13)/$B$3),2)</f>
        <v>16.724537037037038</v>
      </c>
      <c r="E13" s="26">
        <f>(D12*D14*D15)/60000</f>
        <v>2.8333333333333335</v>
      </c>
      <c r="F13" s="115"/>
      <c r="G13" s="115"/>
      <c r="H13" s="115"/>
      <c r="I13" s="115"/>
      <c r="J13" s="115"/>
      <c r="K13" s="115"/>
      <c r="L13" s="115"/>
      <c r="M13" s="115"/>
      <c r="N13" s="115"/>
      <c r="O13" s="116"/>
      <c r="P13" s="116"/>
      <c r="Q13" s="116"/>
      <c r="R13" s="116"/>
      <c r="S13" s="116"/>
      <c r="T13" s="116"/>
      <c r="U13" s="115"/>
      <c r="V13" s="115"/>
      <c r="W13" s="115"/>
      <c r="X13" s="115"/>
      <c r="Y13" s="115"/>
      <c r="Z13" s="115"/>
      <c r="AA13" s="115"/>
      <c r="AB13" s="115"/>
      <c r="AC13" s="115"/>
    </row>
    <row r="14" spans="1:29" ht="18" thickBot="1" x14ac:dyDescent="0.35">
      <c r="A14" s="23" t="s">
        <v>58</v>
      </c>
      <c r="B14" s="9">
        <v>8</v>
      </c>
      <c r="D14" s="168">
        <f>Tabelle1!A4</f>
        <v>17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6"/>
      <c r="P14" s="116"/>
      <c r="Q14" s="116"/>
      <c r="R14" s="116"/>
      <c r="S14" s="116"/>
      <c r="T14" s="116"/>
      <c r="U14" s="115"/>
      <c r="V14" s="115"/>
      <c r="W14" s="115"/>
      <c r="X14" s="115"/>
      <c r="Y14" s="115"/>
      <c r="Z14" s="115"/>
      <c r="AA14" s="115"/>
      <c r="AB14" s="115"/>
      <c r="AC14" s="115"/>
    </row>
    <row r="15" spans="1:29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  <c r="F15" s="115"/>
      <c r="G15" s="115"/>
      <c r="H15" s="115"/>
      <c r="I15" s="115"/>
      <c r="J15" s="115"/>
      <c r="K15" s="115"/>
      <c r="L15" s="115"/>
      <c r="M15" s="115"/>
      <c r="N15" s="115"/>
      <c r="O15" s="116"/>
      <c r="P15" s="116"/>
      <c r="Q15" s="116"/>
      <c r="R15" s="116"/>
      <c r="S15" s="116"/>
      <c r="T15" s="116"/>
      <c r="U15" s="115"/>
      <c r="V15" s="115"/>
      <c r="W15" s="115"/>
      <c r="X15" s="115"/>
      <c r="Y15" s="115"/>
      <c r="Z15" s="115"/>
      <c r="AA15" s="115"/>
      <c r="AB15" s="115"/>
      <c r="AC15" s="115"/>
    </row>
    <row r="16" spans="1:29" x14ac:dyDescent="0.3"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6"/>
      <c r="P16" s="116"/>
      <c r="Q16" s="116"/>
      <c r="R16" s="116"/>
      <c r="S16" s="116"/>
      <c r="T16" s="116"/>
      <c r="U16" s="115"/>
      <c r="V16" s="115"/>
      <c r="W16" s="115"/>
      <c r="X16" s="115"/>
      <c r="Y16" s="115"/>
      <c r="Z16" s="115"/>
      <c r="AA16" s="115"/>
      <c r="AB16" s="115"/>
      <c r="AC16" s="115"/>
    </row>
    <row r="17" spans="4:29" x14ac:dyDescent="0.3"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6"/>
      <c r="P17" s="116"/>
      <c r="Q17" s="116"/>
      <c r="R17" s="116"/>
      <c r="S17" s="116"/>
      <c r="T17" s="116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4:29" x14ac:dyDescent="0.3">
      <c r="D18" s="115"/>
      <c r="E18" s="115"/>
      <c r="F18" s="115"/>
      <c r="G18" s="119"/>
      <c r="H18" s="119"/>
      <c r="I18" s="428"/>
      <c r="J18" s="428"/>
      <c r="K18" s="428"/>
      <c r="L18" s="428"/>
      <c r="M18" s="428"/>
      <c r="N18" s="428"/>
      <c r="O18" s="429"/>
      <c r="P18" s="429"/>
      <c r="Q18" s="429"/>
      <c r="R18" s="429"/>
      <c r="S18" s="429"/>
      <c r="T18" s="429"/>
      <c r="U18" s="428"/>
      <c r="V18" s="428"/>
      <c r="W18" s="428"/>
      <c r="X18" s="428"/>
      <c r="Y18" s="428"/>
      <c r="Z18" s="428"/>
      <c r="AA18" s="395"/>
      <c r="AB18" s="395"/>
      <c r="AC18" s="395"/>
    </row>
    <row r="19" spans="4:29" x14ac:dyDescent="0.3">
      <c r="D19" s="115"/>
      <c r="E19" s="115"/>
      <c r="F19" s="116"/>
      <c r="G19" s="116"/>
      <c r="H19" s="116"/>
      <c r="I19" s="428"/>
      <c r="J19" s="428"/>
      <c r="K19" s="428"/>
      <c r="L19" s="428"/>
      <c r="M19" s="428"/>
      <c r="N19" s="428"/>
      <c r="O19" s="429"/>
      <c r="P19" s="429"/>
      <c r="Q19" s="429"/>
      <c r="R19" s="429"/>
      <c r="S19" s="429"/>
      <c r="T19" s="429"/>
      <c r="U19" s="428"/>
      <c r="V19" s="428"/>
      <c r="W19" s="428"/>
      <c r="X19" s="428"/>
      <c r="Y19" s="428"/>
      <c r="Z19" s="428"/>
      <c r="AA19" s="395"/>
      <c r="AB19" s="395"/>
      <c r="AC19" s="395"/>
    </row>
    <row r="20" spans="4:29" x14ac:dyDescent="0.3">
      <c r="D20" s="115"/>
      <c r="E20" s="115"/>
      <c r="F20" s="115"/>
      <c r="G20" s="115"/>
      <c r="H20" s="115"/>
      <c r="I20" s="136"/>
      <c r="J20" s="117"/>
      <c r="K20" s="118"/>
      <c r="L20" s="118"/>
      <c r="M20" s="117"/>
      <c r="N20" s="118"/>
      <c r="O20" s="118"/>
      <c r="P20" s="117"/>
      <c r="Q20" s="118"/>
      <c r="R20" s="118"/>
      <c r="S20" s="117"/>
      <c r="T20" s="118"/>
      <c r="U20" s="118"/>
      <c r="V20" s="117"/>
      <c r="W20" s="118"/>
      <c r="X20" s="118"/>
      <c r="Y20" s="117"/>
      <c r="Z20" s="118"/>
      <c r="AA20" s="137"/>
      <c r="AB20" s="117"/>
      <c r="AC20" s="117"/>
    </row>
    <row r="21" spans="4:29" x14ac:dyDescent="0.3">
      <c r="D21" s="115"/>
      <c r="E21" s="115"/>
      <c r="F21" s="115"/>
      <c r="G21" s="115"/>
      <c r="H21" s="115"/>
      <c r="I21" s="136"/>
      <c r="J21" s="117"/>
      <c r="K21" s="118"/>
      <c r="L21" s="118"/>
      <c r="M21" s="117"/>
      <c r="N21" s="118"/>
      <c r="O21" s="118"/>
      <c r="P21" s="117"/>
      <c r="Q21" s="118"/>
      <c r="R21" s="118"/>
      <c r="S21" s="117"/>
      <c r="T21" s="118"/>
      <c r="U21" s="118"/>
      <c r="V21" s="117"/>
      <c r="W21" s="118"/>
      <c r="X21" s="118"/>
      <c r="Y21" s="117"/>
      <c r="Z21" s="118"/>
      <c r="AA21" s="137"/>
      <c r="AB21" s="117"/>
      <c r="AC21" s="117"/>
    </row>
    <row r="22" spans="4:29" x14ac:dyDescent="0.3">
      <c r="D22" s="115"/>
      <c r="E22" s="115"/>
      <c r="F22" s="115"/>
      <c r="G22" s="115"/>
      <c r="H22" s="115"/>
      <c r="I22" s="136"/>
      <c r="J22" s="117"/>
      <c r="K22" s="118"/>
      <c r="L22" s="118"/>
      <c r="M22" s="117"/>
      <c r="N22" s="118"/>
      <c r="O22" s="118"/>
      <c r="P22" s="117"/>
      <c r="Q22" s="118"/>
      <c r="R22" s="118"/>
      <c r="S22" s="117"/>
      <c r="T22" s="118"/>
      <c r="U22" s="118"/>
      <c r="V22" s="117"/>
      <c r="W22" s="118"/>
      <c r="X22" s="118"/>
      <c r="Y22" s="117"/>
      <c r="Z22" s="118"/>
      <c r="AA22" s="137"/>
      <c r="AB22" s="117"/>
      <c r="AC22" s="117"/>
    </row>
    <row r="23" spans="4:29" x14ac:dyDescent="0.3">
      <c r="D23" s="115"/>
      <c r="E23" s="115"/>
      <c r="F23" s="115"/>
      <c r="G23" s="115"/>
      <c r="H23" s="115"/>
      <c r="I23" s="136"/>
      <c r="J23" s="117"/>
      <c r="K23" s="118"/>
      <c r="L23" s="118"/>
      <c r="M23" s="117"/>
      <c r="N23" s="118"/>
      <c r="O23" s="118"/>
      <c r="P23" s="117"/>
      <c r="Q23" s="118"/>
      <c r="R23" s="118"/>
      <c r="S23" s="117"/>
      <c r="T23" s="118"/>
      <c r="U23" s="118"/>
      <c r="V23" s="117"/>
      <c r="W23" s="118"/>
      <c r="X23" s="118"/>
      <c r="Y23" s="117"/>
      <c r="Z23" s="118"/>
      <c r="AA23" s="137"/>
      <c r="AB23" s="117"/>
      <c r="AC23" s="117"/>
    </row>
    <row r="24" spans="4:29" x14ac:dyDescent="0.3">
      <c r="D24" s="115"/>
      <c r="E24" s="115"/>
      <c r="F24" s="115"/>
      <c r="G24" s="115"/>
      <c r="H24" s="115"/>
      <c r="I24" s="136"/>
      <c r="J24" s="117"/>
      <c r="K24" s="118"/>
      <c r="L24" s="118"/>
      <c r="M24" s="117"/>
      <c r="N24" s="118"/>
      <c r="O24" s="118"/>
      <c r="P24" s="117"/>
      <c r="Q24" s="118"/>
      <c r="R24" s="118"/>
      <c r="S24" s="117"/>
      <c r="T24" s="118"/>
      <c r="U24" s="118"/>
      <c r="V24" s="117"/>
      <c r="W24" s="118"/>
      <c r="X24" s="118"/>
      <c r="Y24" s="117"/>
      <c r="Z24" s="118"/>
      <c r="AA24" s="137"/>
      <c r="AB24" s="117"/>
      <c r="AC24" s="117"/>
    </row>
    <row r="25" spans="4:29" x14ac:dyDescent="0.3"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6"/>
      <c r="P25" s="116"/>
      <c r="Q25" s="116"/>
      <c r="R25" s="116"/>
      <c r="S25" s="116"/>
      <c r="T25" s="116"/>
      <c r="U25" s="115"/>
      <c r="V25" s="115"/>
      <c r="W25" s="115"/>
      <c r="X25" s="115"/>
      <c r="Y25" s="115"/>
      <c r="Z25" s="115"/>
      <c r="AA25" s="115"/>
      <c r="AB25" s="115"/>
      <c r="AC25" s="115"/>
    </row>
    <row r="26" spans="4:29" x14ac:dyDescent="0.3"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6"/>
      <c r="P26" s="116"/>
      <c r="Q26" s="116"/>
      <c r="R26" s="116"/>
      <c r="S26" s="116"/>
      <c r="T26" s="116"/>
      <c r="U26" s="115"/>
      <c r="V26" s="115"/>
      <c r="W26" s="115"/>
      <c r="X26" s="115"/>
      <c r="Y26" s="115"/>
      <c r="Z26" s="115"/>
      <c r="AA26" s="115"/>
      <c r="AB26" s="115"/>
      <c r="AC26" s="115"/>
    </row>
  </sheetData>
  <sheetProtection algorithmName="SHA-512" hashValue="mFJIzbWLPQGliQNnCy+en75Rcy1Xsl3zYnEFXZ7NPeav0gcw6+sWKeEJ851Qt7E4HVVa7Ds1T5+5klDP5cw4VA==" saltValue="MOXFFlKgaNqgbP0VfFqjMw==" spinCount="100000" sheet="1" objects="1" scenarios="1"/>
  <mergeCells count="21">
    <mergeCell ref="B3:D3"/>
    <mergeCell ref="I4:N4"/>
    <mergeCell ref="O4:T4"/>
    <mergeCell ref="U4:Z4"/>
    <mergeCell ref="AA4:AC5"/>
    <mergeCell ref="I5:K5"/>
    <mergeCell ref="L5:N5"/>
    <mergeCell ref="O5:Q5"/>
    <mergeCell ref="R5:T5"/>
    <mergeCell ref="U5:W5"/>
    <mergeCell ref="X5:Z5"/>
    <mergeCell ref="AA18:AC19"/>
    <mergeCell ref="I19:K19"/>
    <mergeCell ref="L19:N19"/>
    <mergeCell ref="O19:Q19"/>
    <mergeCell ref="R19:T19"/>
    <mergeCell ref="U19:W19"/>
    <mergeCell ref="X19:Z19"/>
    <mergeCell ref="I18:N18"/>
    <mergeCell ref="O18:T18"/>
    <mergeCell ref="U18:Z18"/>
  </mergeCells>
  <conditionalFormatting sqref="B9 E6:E10">
    <cfRule type="cellIs" dxfId="426" priority="8" operator="greaterThan">
      <formula>$B$12</formula>
    </cfRule>
  </conditionalFormatting>
  <conditionalFormatting sqref="C6">
    <cfRule type="cellIs" dxfId="425" priority="14" operator="greaterThan">
      <formula>$B$12</formula>
    </cfRule>
  </conditionalFormatting>
  <conditionalFormatting sqref="B6">
    <cfRule type="cellIs" dxfId="424" priority="15" operator="greaterThan">
      <formula>$B$12</formula>
    </cfRule>
  </conditionalFormatting>
  <conditionalFormatting sqref="B7">
    <cfRule type="cellIs" dxfId="423" priority="12" operator="greaterThan">
      <formula>$B$12</formula>
    </cfRule>
  </conditionalFormatting>
  <conditionalFormatting sqref="D10">
    <cfRule type="cellIs" dxfId="422" priority="1" operator="greaterThan">
      <formula>$B$12</formula>
    </cfRule>
  </conditionalFormatting>
  <conditionalFormatting sqref="D6">
    <cfRule type="cellIs" dxfId="421" priority="13" operator="greaterThan">
      <formula>$B$12</formula>
    </cfRule>
  </conditionalFormatting>
  <conditionalFormatting sqref="C7">
    <cfRule type="cellIs" dxfId="420" priority="11" operator="greaterThan">
      <formula>$B$12</formula>
    </cfRule>
  </conditionalFormatting>
  <conditionalFormatting sqref="D7">
    <cfRule type="cellIs" dxfId="419" priority="10" operator="greaterThan">
      <formula>$B$12</formula>
    </cfRule>
  </conditionalFormatting>
  <conditionalFormatting sqref="B8">
    <cfRule type="cellIs" dxfId="418" priority="9" operator="greaterThan">
      <formula>$B$12</formula>
    </cfRule>
  </conditionalFormatting>
  <conditionalFormatting sqref="B10">
    <cfRule type="cellIs" dxfId="417" priority="7" operator="greaterThan">
      <formula>$B$12</formula>
    </cfRule>
  </conditionalFormatting>
  <conditionalFormatting sqref="C8">
    <cfRule type="cellIs" dxfId="416" priority="6" operator="greaterThan">
      <formula>$B$12</formula>
    </cfRule>
  </conditionalFormatting>
  <conditionalFormatting sqref="D8">
    <cfRule type="cellIs" dxfId="415" priority="5" operator="greaterThan">
      <formula>$B$12</formula>
    </cfRule>
  </conditionalFormatting>
  <conditionalFormatting sqref="C9">
    <cfRule type="cellIs" dxfId="414" priority="4" operator="greaterThan">
      <formula>$B$12</formula>
    </cfRule>
  </conditionalFormatting>
  <conditionalFormatting sqref="D9">
    <cfRule type="cellIs" dxfId="413" priority="3" operator="greaterThan">
      <formula>$B$12</formula>
    </cfRule>
  </conditionalFormatting>
  <conditionalFormatting sqref="C10">
    <cfRule type="cellIs" dxfId="41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zoomScale="80" zoomScaleNormal="80" workbookViewId="0">
      <selection activeCell="H19" sqref="H19"/>
    </sheetView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8.6640625" style="11" customWidth="1"/>
    <col min="8" max="8" width="5.109375" style="11" customWidth="1"/>
    <col min="9" max="9" width="5.109375" style="11" bestFit="1" customWidth="1"/>
    <col min="10" max="10" width="6.6640625" style="11" bestFit="1" customWidth="1"/>
    <col min="11" max="13" width="6.6640625" style="11" customWidth="1"/>
    <col min="14" max="14" width="6.6640625" style="11" bestFit="1" customWidth="1"/>
    <col min="15" max="16" width="5.109375" style="12" bestFit="1" customWidth="1"/>
    <col min="17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131" t="s">
        <v>65</v>
      </c>
      <c r="B3" s="397">
        <v>0.4</v>
      </c>
      <c r="C3" s="397"/>
      <c r="D3" s="398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92.376043070340131</v>
      </c>
      <c r="C6" s="17">
        <f>(((SQRT(C5)*$B$3)/SQRT(3))*$C$15)/$A6</f>
        <v>160</v>
      </c>
      <c r="D6" s="17">
        <f>(((SQRT(D5)*$B$3)/SQRT(3))*$C$15)/$A6</f>
        <v>226.27416997969522</v>
      </c>
      <c r="F6" s="106"/>
      <c r="G6" s="106"/>
      <c r="H6" s="132"/>
      <c r="I6" s="42" t="str">
        <f>IF(H6="","","bis")</f>
        <v/>
      </c>
      <c r="J6" s="19"/>
      <c r="K6" s="20">
        <f>(((SQRT($H6)*$B$3)/SQRT(3))*60000)/($B$12*$B$15)</f>
        <v>0</v>
      </c>
      <c r="L6" s="42" t="str">
        <f>IF(K6="","","bis")</f>
        <v>bis</v>
      </c>
      <c r="M6" s="18">
        <f>(((SQRT($J6)*$B$3)/SQRT(3))*60000)/($B$12*$B$15)</f>
        <v>0</v>
      </c>
      <c r="N6" s="19"/>
      <c r="O6" s="42" t="str">
        <f>IF(N6="","","bis")</f>
        <v/>
      </c>
      <c r="P6" s="18"/>
      <c r="Q6" s="20">
        <f>(((SQRT($N6)*$B$3)/SQRT(3))*60000)/($B$12*$B$15)</f>
        <v>0</v>
      </c>
      <c r="R6" s="42" t="str">
        <f>IF(Q6="","","bis")</f>
        <v>bis</v>
      </c>
      <c r="S6" s="18">
        <f>(((SQRT($P6)*$B$3)/SQRT(3))*60000)/($B$12*$B$15)</f>
        <v>0</v>
      </c>
      <c r="T6" s="20"/>
      <c r="U6" s="42" t="str">
        <f>IF(T6="","","bis")</f>
        <v/>
      </c>
      <c r="V6" s="19"/>
      <c r="W6" s="20">
        <f>(((SQRT($T6)*$B$3)/SQRT(3))*60000)/($B$12*$B$15)</f>
        <v>0</v>
      </c>
      <c r="X6" s="42" t="str">
        <f>IF(W6="","","bis")</f>
        <v>bis</v>
      </c>
      <c r="Y6" s="19">
        <f>(((SQRT($V6)*$B$3)/SQRT(3))*60000)/($B$12*$B$15)</f>
        <v>0</v>
      </c>
      <c r="Z6" s="133"/>
      <c r="AA6" s="42" t="str">
        <f>IF(Z6="","","bis")</f>
        <v/>
      </c>
      <c r="AB6" s="134"/>
    </row>
    <row r="7" spans="1:28" ht="18" thickBot="1" x14ac:dyDescent="0.35">
      <c r="A7" s="21">
        <v>7</v>
      </c>
      <c r="B7" s="17">
        <f>(((SQRT(B5)*$B$3)/SQRT(3))*$C$15)/$A7</f>
        <v>79.179465488862974</v>
      </c>
      <c r="C7" s="17">
        <f>(((SQRT(C5)*$B$3)/SQRT(3))*$C$15)/$A7</f>
        <v>137.14285714285714</v>
      </c>
      <c r="D7" s="17">
        <f>(((SQRT(D5)*$B$3)/SQRT(3))*$C$15)/$A7</f>
        <v>193.94928855402446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69.282032302755098</v>
      </c>
      <c r="C8" s="17">
        <f>(((SQRT(C5)*$B$3)/SQRT(3))*1200)/$A8</f>
        <v>60</v>
      </c>
      <c r="D8" s="17">
        <f>(((SQRT(D5)*$B$3)/SQRT(3))*1200)/$A8</f>
        <v>84.852813742385706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61.584028713560087</v>
      </c>
      <c r="C9" s="17">
        <f>(((SQRT(C5)*$B$3)/SQRT(3))*$C$15)/$A9</f>
        <v>106.66666666666667</v>
      </c>
      <c r="D9" s="17">
        <f>(((SQRT(D5)*$B$3)/SQRT(3))*$C$15)/$A9</f>
        <v>150.84944665313014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55.425625842204077</v>
      </c>
      <c r="C10" s="27">
        <f>(((SQRT(C5)*$B$3)/SQRT(3))*$C$15)/$A10</f>
        <v>96</v>
      </c>
      <c r="D10" s="27">
        <f>(((SQRT(D5)*$B$3)/SQRT(3))*$C$15)/$A10</f>
        <v>135.76450198781714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</row>
    <row r="13" spans="1:28" ht="18" thickBot="1" x14ac:dyDescent="0.35">
      <c r="A13" s="23" t="s">
        <v>57</v>
      </c>
      <c r="B13" s="25">
        <f>POWER(((SQRT(3)*$C$13)/$B$3),2)</f>
        <v>4.6874999999999991</v>
      </c>
      <c r="C13" s="26">
        <f>(B12*B14*B15)/60000</f>
        <v>0.5</v>
      </c>
    </row>
    <row r="14" spans="1:28" ht="18" thickBot="1" x14ac:dyDescent="0.35">
      <c r="A14" s="23" t="s">
        <v>58</v>
      </c>
      <c r="B14" s="9">
        <v>6</v>
      </c>
    </row>
    <row r="15" spans="1:28" ht="18" thickBot="1" x14ac:dyDescent="0.35">
      <c r="A15" s="23" t="s">
        <v>61</v>
      </c>
      <c r="B15" s="29">
        <v>25</v>
      </c>
      <c r="C15" s="26">
        <f>(60000/B15)</f>
        <v>2400</v>
      </c>
    </row>
  </sheetData>
  <sheetProtection algorithmName="SHA-512" hashValue="wWKB9KOdVotWlc5BNWo2EJ14Jmz2FxfB9V08I+l9SUcar5GO78t5igWMYLP2iBgBL+cYsBsAVT6GWv7m1qpPcQ==" saltValue="/uK8NF9EoQtf2k70tbriBw==" spinCount="100000" sheet="1" objects="1" scenarios="1"/>
  <mergeCells count="11">
    <mergeCell ref="W5:Y5"/>
    <mergeCell ref="Z4:AB5"/>
    <mergeCell ref="B3:D3"/>
    <mergeCell ref="H4:M4"/>
    <mergeCell ref="N4:S4"/>
    <mergeCell ref="T4:Y4"/>
    <mergeCell ref="H5:J5"/>
    <mergeCell ref="K5:M5"/>
    <mergeCell ref="N5:P5"/>
    <mergeCell ref="Q5:S5"/>
    <mergeCell ref="T5:V5"/>
  </mergeCells>
  <conditionalFormatting sqref="B6">
    <cfRule type="cellIs" dxfId="824" priority="15" operator="greaterThan">
      <formula>$B$12</formula>
    </cfRule>
  </conditionalFormatting>
  <conditionalFormatting sqref="C6">
    <cfRule type="cellIs" dxfId="823" priority="14" operator="greaterThan">
      <formula>$B$12</formula>
    </cfRule>
  </conditionalFormatting>
  <conditionalFormatting sqref="D6">
    <cfRule type="cellIs" dxfId="822" priority="13" operator="greaterThan">
      <formula>$B$12</formula>
    </cfRule>
  </conditionalFormatting>
  <conditionalFormatting sqref="B7">
    <cfRule type="cellIs" dxfId="821" priority="12" operator="greaterThan">
      <formula>$B$12</formula>
    </cfRule>
  </conditionalFormatting>
  <conditionalFormatting sqref="C7">
    <cfRule type="cellIs" dxfId="820" priority="11" operator="greaterThan">
      <formula>$B$12</formula>
    </cfRule>
  </conditionalFormatting>
  <conditionalFormatting sqref="D7">
    <cfRule type="cellIs" dxfId="819" priority="10" operator="greaterThan">
      <formula>$B$12</formula>
    </cfRule>
  </conditionalFormatting>
  <conditionalFormatting sqref="B8">
    <cfRule type="cellIs" dxfId="818" priority="9" operator="greaterThan">
      <formula>$B$12</formula>
    </cfRule>
  </conditionalFormatting>
  <conditionalFormatting sqref="B9">
    <cfRule type="cellIs" dxfId="817" priority="8" operator="greaterThan">
      <formula>$B$12</formula>
    </cfRule>
  </conditionalFormatting>
  <conditionalFormatting sqref="B10">
    <cfRule type="cellIs" dxfId="816" priority="7" operator="greaterThan">
      <formula>$B$12</formula>
    </cfRule>
  </conditionalFormatting>
  <conditionalFormatting sqref="C8">
    <cfRule type="cellIs" dxfId="815" priority="6" operator="greaterThan">
      <formula>$B$12</formula>
    </cfRule>
  </conditionalFormatting>
  <conditionalFormatting sqref="D8">
    <cfRule type="cellIs" dxfId="814" priority="5" operator="greaterThan">
      <formula>$B$12</formula>
    </cfRule>
  </conditionalFormatting>
  <conditionalFormatting sqref="C9">
    <cfRule type="cellIs" dxfId="813" priority="4" operator="greaterThan">
      <formula>$B$12</formula>
    </cfRule>
  </conditionalFormatting>
  <conditionalFormatting sqref="D9">
    <cfRule type="cellIs" dxfId="812" priority="3" operator="greaterThan">
      <formula>$B$12</formula>
    </cfRule>
  </conditionalFormatting>
  <conditionalFormatting sqref="C10">
    <cfRule type="cellIs" dxfId="811" priority="2" operator="greaterThan">
      <formula>$B$12</formula>
    </cfRule>
  </conditionalFormatting>
  <conditionalFormatting sqref="D10">
    <cfRule type="cellIs" dxfId="810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9.8867187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5" t="s">
        <v>66</v>
      </c>
      <c r="B3" s="432">
        <v>1.6</v>
      </c>
      <c r="C3" s="432"/>
      <c r="D3" s="433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184.75208614068026</v>
      </c>
      <c r="C6" s="17">
        <f>(((SQRT(C5)*$B$3)/SQRT(3))*$C$15)/$A6</f>
        <v>320</v>
      </c>
      <c r="D6" s="17">
        <f>(((SQRT(D5)*$B$3)/SQRT(3))*$C$15)/$A6</f>
        <v>452.54833995939043</v>
      </c>
      <c r="F6" s="106" t="str">
        <f>_1801b</f>
        <v>Lechler</v>
      </c>
      <c r="G6" s="106" t="str">
        <f>_1801c</f>
        <v>IDK 120 04 C</v>
      </c>
      <c r="H6" s="132">
        <f>_1801h</f>
        <v>1.5</v>
      </c>
      <c r="I6" s="42" t="str">
        <f>IF(H6="","","bis")</f>
        <v>bis</v>
      </c>
      <c r="J6" s="18">
        <f>_1801i</f>
        <v>3</v>
      </c>
      <c r="K6" s="20">
        <f>(((SQRT($H6)*$B$3)/SQRT(3))*60000)/($B$12*$B$15)</f>
        <v>5.4305800795126844</v>
      </c>
      <c r="L6" s="42" t="str">
        <f>IF(K6="","","bis")</f>
        <v>bis</v>
      </c>
      <c r="M6" s="18">
        <f>(((SQRT($J6)*$B$3)/SQRT(3))*60000)/($B$12*$B$15)</f>
        <v>7.68</v>
      </c>
      <c r="N6" s="19">
        <f>_1801j</f>
        <v>1.5</v>
      </c>
      <c r="O6" s="42" t="str">
        <f>IF(N6="","","bis")</f>
        <v>bis</v>
      </c>
      <c r="P6" s="18">
        <f>_1801k</f>
        <v>2</v>
      </c>
      <c r="Q6" s="20">
        <f>(((SQRT($N6)*$B$3)/SQRT(3))*60000)/($B$12*$B$15)</f>
        <v>5.4305800795126844</v>
      </c>
      <c r="R6" s="42" t="str">
        <f>IF(Q6="","","bis")</f>
        <v>bis</v>
      </c>
      <c r="S6" s="18">
        <f>(((SQRT($P6)*$B$3)/SQRT(3))*60000)/($B$12*$B$15)</f>
        <v>6.270693741524938</v>
      </c>
      <c r="T6" s="20">
        <f>_1801l</f>
        <v>1.5</v>
      </c>
      <c r="U6" s="42" t="str">
        <f>IF(T6="","","bis")</f>
        <v>bis</v>
      </c>
      <c r="V6" s="19">
        <f>_1801m</f>
        <v>1.5</v>
      </c>
      <c r="W6" s="20">
        <f>(((SQRT($T6)*$B$3)/SQRT(3))*60000)/($B$12*$B$15)</f>
        <v>5.4305800795126844</v>
      </c>
      <c r="X6" s="42" t="str">
        <f>IF(W6="","","bis")</f>
        <v>bis</v>
      </c>
      <c r="Y6" s="19">
        <f>(((SQRT($V6)*$B$3)/SQRT(3))*60000)/($B$12*$B$15)</f>
        <v>5.4305800795126844</v>
      </c>
      <c r="Z6" s="133">
        <f>_1801f</f>
        <v>1.5</v>
      </c>
      <c r="AA6" s="42" t="str">
        <f>IF(Z6="","","bis")</f>
        <v>bis</v>
      </c>
      <c r="AB6" s="134">
        <f>_1801g</f>
        <v>6</v>
      </c>
    </row>
    <row r="7" spans="1:28" ht="18" thickBot="1" x14ac:dyDescent="0.35">
      <c r="A7" s="21">
        <v>7</v>
      </c>
      <c r="B7" s="17">
        <f>(((SQRT(B5)*$B$3)/SQRT(3))*$C$15)/$A7</f>
        <v>158.35893097772595</v>
      </c>
      <c r="C7" s="17">
        <f>(((SQRT(C5)*$B$3)/SQRT(3))*$C$15)/$A7</f>
        <v>274.28571428571428</v>
      </c>
      <c r="D7" s="17">
        <f>(((SQRT(D5)*$B$3)/SQRT(3))*$C$15)/$A7</f>
        <v>387.89857710804893</v>
      </c>
      <c r="F7" s="106" t="str">
        <f>_1718b</f>
        <v>Lechler</v>
      </c>
      <c r="G7" s="106" t="str">
        <f>_1718c</f>
        <v>IDKN 120 04</v>
      </c>
      <c r="H7" s="132">
        <f>_1718h</f>
        <v>1</v>
      </c>
      <c r="I7" s="42" t="str">
        <f>IF(H7="","","bis")</f>
        <v>bis</v>
      </c>
      <c r="J7" s="18">
        <f>_1718i</f>
        <v>3</v>
      </c>
      <c r="K7" s="20">
        <f>(((SQRT($H7)*$B$3)/SQRT(3))*60000)/($B$12*$B$15)</f>
        <v>4.4340500673763259</v>
      </c>
      <c r="L7" s="42" t="str">
        <f>IF(K7="","","bis")</f>
        <v>bis</v>
      </c>
      <c r="M7" s="18">
        <f>(((SQRT($J7)*$B$3)/SQRT(3))*60000)/($B$12*$B$15)</f>
        <v>7.68</v>
      </c>
      <c r="N7" s="20">
        <f>_1718j</f>
        <v>1</v>
      </c>
      <c r="O7" s="42" t="str">
        <f>IF(N7="","","bis")</f>
        <v>bis</v>
      </c>
      <c r="P7" s="18">
        <f>_1718k</f>
        <v>1.5</v>
      </c>
      <c r="Q7" s="20">
        <f>(((SQRT($N7)*$B$3)/SQRT(3))*60000)/($B$12*$B$15)</f>
        <v>4.4340500673763259</v>
      </c>
      <c r="R7" s="42" t="str">
        <f>IF(Q7="","","bis")</f>
        <v>bis</v>
      </c>
      <c r="S7" s="18">
        <f>(((SQRT($P7)*$B$3)/SQRT(3))*60000)/($B$12*$B$15)</f>
        <v>5.4305800795126844</v>
      </c>
      <c r="T7" s="20">
        <f>_1718l</f>
        <v>1</v>
      </c>
      <c r="U7" s="42" t="str">
        <f>IF(T7="","","bis")</f>
        <v>bis</v>
      </c>
      <c r="V7" s="18">
        <f>_1718m</f>
        <v>1</v>
      </c>
      <c r="W7" s="20">
        <f>(((SQRT($T7)*$B$3)/SQRT(3))*60000)/($B$12*$B$15)</f>
        <v>4.4340500673763259</v>
      </c>
      <c r="X7" s="42" t="str">
        <f>IF(W7="","","bis")</f>
        <v>bis</v>
      </c>
      <c r="Y7" s="18">
        <f>(((SQRT($V7)*$B$3)/SQRT(3))*60000)/($B$12*$B$15)</f>
        <v>4.4340500673763259</v>
      </c>
      <c r="Z7" s="133">
        <f>_1718f</f>
        <v>1</v>
      </c>
      <c r="AA7" s="42" t="str">
        <f>IF(Z7="","","bis")</f>
        <v>bis</v>
      </c>
      <c r="AB7" s="134">
        <f>_1718g</f>
        <v>6</v>
      </c>
    </row>
    <row r="8" spans="1:28" ht="18" thickBot="1" x14ac:dyDescent="0.35">
      <c r="A8" s="21">
        <v>8</v>
      </c>
      <c r="B8" s="17">
        <f>(((SQRT(B5)*$B$3)/SQRT(3))*$C$15)/$A8</f>
        <v>138.5640646055102</v>
      </c>
      <c r="C8" s="17">
        <f>(((SQRT(C5)*$B$3)/SQRT(3))*1200)/$A8</f>
        <v>240</v>
      </c>
      <c r="D8" s="17">
        <f>(((SQRT(D5)*$B$3)/SQRT(3))*1200)/$A8</f>
        <v>339.41125496954282</v>
      </c>
      <c r="F8" s="106" t="str">
        <f>_1783b</f>
        <v>Hardi</v>
      </c>
      <c r="G8" s="106" t="str">
        <f>_1783c</f>
        <v>MiniDrift MD 04</v>
      </c>
      <c r="H8" s="132">
        <f>_1783h</f>
        <v>1</v>
      </c>
      <c r="I8" s="42" t="str">
        <f>IF(H8="","","bis")</f>
        <v>bis</v>
      </c>
      <c r="J8" s="18">
        <f>_1783i</f>
        <v>3</v>
      </c>
      <c r="K8" s="20">
        <f>(((SQRT($H8)*$B$3)/SQRT(3))*60000)/($B$12*$B$15)</f>
        <v>4.4340500673763259</v>
      </c>
      <c r="L8" s="42" t="str">
        <f>IF(K8="","","bis")</f>
        <v>bis</v>
      </c>
      <c r="M8" s="18">
        <f>(((SQRT($J8)*$B$3)/SQRT(3))*60000)/($B$12*$B$15)</f>
        <v>7.68</v>
      </c>
      <c r="N8" s="20">
        <f>_1783j</f>
        <v>1</v>
      </c>
      <c r="O8" s="42" t="str">
        <f>IF(N8="","","bis")</f>
        <v>bis</v>
      </c>
      <c r="P8" s="18">
        <f>_1783k</f>
        <v>1</v>
      </c>
      <c r="Q8" s="20">
        <f>(((SQRT($N8)*$B$3)/SQRT(3))*60000)/($B$12*$B$15)</f>
        <v>4.4340500673763259</v>
      </c>
      <c r="R8" s="42" t="str">
        <f>IF(Q8="","","bis")</f>
        <v>bis</v>
      </c>
      <c r="S8" s="18">
        <f>(((SQRT($P8)*$B$3)/SQRT(3))*60000)/($B$12*$B$15)</f>
        <v>4.4340500673763259</v>
      </c>
      <c r="T8" s="20">
        <f>_1783l</f>
        <v>1</v>
      </c>
      <c r="U8" s="42" t="str">
        <f>IF(T8="","","bis")</f>
        <v>bis</v>
      </c>
      <c r="V8" s="18">
        <f>_1783m</f>
        <v>1</v>
      </c>
      <c r="W8" s="20">
        <f>(((SQRT($T8)*$B$3)/SQRT(3))*60000)/($B$12*$B$15)</f>
        <v>4.4340500673763259</v>
      </c>
      <c r="X8" s="42" t="str">
        <f>IF(W8="","","bis")</f>
        <v>bis</v>
      </c>
      <c r="Y8" s="18">
        <f>(((SQRT($V8)*$B$3)/SQRT(3))*60000)/($B$12*$B$15)</f>
        <v>4.4340500673763259</v>
      </c>
      <c r="Z8" s="133">
        <f>_1783f</f>
        <v>1</v>
      </c>
      <c r="AA8" s="42" t="str">
        <f>IF(Z8="","","bis")</f>
        <v>bis</v>
      </c>
      <c r="AB8" s="134">
        <f>_1783g</f>
        <v>6</v>
      </c>
    </row>
    <row r="9" spans="1:28" ht="18" thickBot="1" x14ac:dyDescent="0.35">
      <c r="A9" s="21">
        <v>9</v>
      </c>
      <c r="B9" s="17">
        <f>(((SQRT(B5)*$B$3)/SQRT(3))*$C$15)/$A9</f>
        <v>123.16805742712017</v>
      </c>
      <c r="C9" s="17">
        <f>(((SQRT(C5)*$B$3)/SQRT(3))*$C$15)/$A9</f>
        <v>213.33333333333334</v>
      </c>
      <c r="D9" s="17">
        <f>(((SQRT(D5)*$B$3)/SQRT(3))*$C$15)/$A9</f>
        <v>301.69889330626029</v>
      </c>
      <c r="F9" s="106" t="str">
        <f>_2209b</f>
        <v>Lechler</v>
      </c>
      <c r="G9" s="106" t="str">
        <f>_2209c</f>
        <v>PSLDACQ2004</v>
      </c>
      <c r="H9" s="132">
        <f>_2209h</f>
        <v>1.5</v>
      </c>
      <c r="I9" s="42" t="str">
        <f>IF(H9="","","bis")</f>
        <v>bis</v>
      </c>
      <c r="J9" s="18">
        <f>_2209i</f>
        <v>3</v>
      </c>
      <c r="K9" s="20">
        <f>(((SQRT($H9)*$B$3)/SQRT(3))*60000)/($B$12*$B$15)</f>
        <v>5.4305800795126844</v>
      </c>
      <c r="L9" s="42" t="str">
        <f>IF(K9="","","bis")</f>
        <v>bis</v>
      </c>
      <c r="M9" s="18">
        <f>(((SQRT($J9)*$B$3)/SQRT(3))*60000)/($B$12*$B$15)</f>
        <v>7.68</v>
      </c>
      <c r="N9" s="20">
        <f>_2209j</f>
        <v>1.5</v>
      </c>
      <c r="O9" s="42" t="str">
        <f>IF(N9="","","bis")</f>
        <v>bis</v>
      </c>
      <c r="P9" s="18">
        <f>_2209k</f>
        <v>2</v>
      </c>
      <c r="Q9" s="20">
        <f>(((SQRT($N9)*$B$3)/SQRT(3))*60000)/($B$12*$B$15)</f>
        <v>5.4305800795126844</v>
      </c>
      <c r="R9" s="42" t="str">
        <f>IF(Q9="","","bis")</f>
        <v>bis</v>
      </c>
      <c r="S9" s="18">
        <f>(((SQRT($P9)*$B$3)/SQRT(3))*60000)/($B$12*$B$15)</f>
        <v>6.270693741524938</v>
      </c>
      <c r="T9" s="20">
        <f>_2209l</f>
        <v>1.5</v>
      </c>
      <c r="U9" s="42" t="str">
        <f>IF(T9="","","bis")</f>
        <v>bis</v>
      </c>
      <c r="V9" s="19">
        <f>_2209m</f>
        <v>1.5</v>
      </c>
      <c r="W9" s="20">
        <f>(((SQRT($T9)*$B$3)/SQRT(3))*60000)/($B$12*$B$15)</f>
        <v>5.4305800795126844</v>
      </c>
      <c r="X9" s="42" t="str">
        <f>IF(W9="","","bis")</f>
        <v>bis</v>
      </c>
      <c r="Y9" s="18">
        <f>(((SQRT($V9)*$B$3)/SQRT(3))*60000)/($B$12*$B$15)</f>
        <v>5.4305800795126844</v>
      </c>
      <c r="Z9" s="133">
        <f>_2209f</f>
        <v>1.5</v>
      </c>
      <c r="AA9" s="42" t="str">
        <f>IF(Z9="","","bis")</f>
        <v>bis</v>
      </c>
      <c r="AB9" s="134">
        <f>_2209g</f>
        <v>6</v>
      </c>
    </row>
    <row r="10" spans="1:28" ht="18" thickBot="1" x14ac:dyDescent="0.35">
      <c r="A10" s="22">
        <v>10</v>
      </c>
      <c r="B10" s="27">
        <f>(((SQRT(B5)*$B$3)/SQRT(3))*$C$15)/$A10</f>
        <v>110.85125168440815</v>
      </c>
      <c r="C10" s="27">
        <f>(((SQRT(C5)*$B$3)/SQRT(3))*$C$15)/$A10</f>
        <v>192</v>
      </c>
      <c r="D10" s="27">
        <f>(((SQRT(D5)*$B$3)/SQRT(3))*$C$15)/$A10</f>
        <v>271.52900397563428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250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3.2552083333333321</v>
      </c>
      <c r="C13" s="26">
        <f>(B12*B14*B15)/60000</f>
        <v>1.6666666666666667</v>
      </c>
      <c r="D13" s="25">
        <f>POWER(((SQRT(3)*$E$13)/$B$3),2)</f>
        <v>9.4075520833333321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8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MjNGp9LbWn5TQb88n+6vMSQUs6QcjxLc5kOtRzKAt1+jXNnMnE4SA0Ks6GBgb8jtqH7lbl7wZJEsTnFCYtFeVw==" saltValue="5ubucm7Y6XJThrRQKDnJRA==" spinCount="100000" sheet="1" objects="1" scenarios="1"/>
  <mergeCells count="11">
    <mergeCell ref="Z4:AB5"/>
    <mergeCell ref="H5:J5"/>
    <mergeCell ref="K5:M5"/>
    <mergeCell ref="N5:P5"/>
    <mergeCell ref="Q5:S5"/>
    <mergeCell ref="T5:V5"/>
    <mergeCell ref="B3:D3"/>
    <mergeCell ref="W5:Y5"/>
    <mergeCell ref="H4:M4"/>
    <mergeCell ref="N4:S4"/>
    <mergeCell ref="T4:Y4"/>
  </mergeCells>
  <conditionalFormatting sqref="B9">
    <cfRule type="cellIs" dxfId="411" priority="8" operator="greaterThan">
      <formula>$B$12</formula>
    </cfRule>
  </conditionalFormatting>
  <conditionalFormatting sqref="C6">
    <cfRule type="cellIs" dxfId="410" priority="14" operator="greaterThan">
      <formula>$B$12</formula>
    </cfRule>
  </conditionalFormatting>
  <conditionalFormatting sqref="B6">
    <cfRule type="cellIs" dxfId="409" priority="15" operator="greaterThan">
      <formula>$B$12</formula>
    </cfRule>
  </conditionalFormatting>
  <conditionalFormatting sqref="B7">
    <cfRule type="cellIs" dxfId="408" priority="12" operator="greaterThan">
      <formula>$B$12</formula>
    </cfRule>
  </conditionalFormatting>
  <conditionalFormatting sqref="D10">
    <cfRule type="cellIs" dxfId="407" priority="1" operator="greaterThan">
      <formula>$B$12</formula>
    </cfRule>
  </conditionalFormatting>
  <conditionalFormatting sqref="D6">
    <cfRule type="cellIs" dxfId="406" priority="13" operator="greaterThan">
      <formula>$B$12</formula>
    </cfRule>
  </conditionalFormatting>
  <conditionalFormatting sqref="C7">
    <cfRule type="cellIs" dxfId="405" priority="11" operator="greaterThan">
      <formula>$B$12</formula>
    </cfRule>
  </conditionalFormatting>
  <conditionalFormatting sqref="D7">
    <cfRule type="cellIs" dxfId="404" priority="10" operator="greaterThan">
      <formula>$B$12</formula>
    </cfRule>
  </conditionalFormatting>
  <conditionalFormatting sqref="B8">
    <cfRule type="cellIs" dxfId="403" priority="9" operator="greaterThan">
      <formula>$B$12</formula>
    </cfRule>
  </conditionalFormatting>
  <conditionalFormatting sqref="B10">
    <cfRule type="cellIs" dxfId="402" priority="7" operator="greaterThan">
      <formula>$B$12</formula>
    </cfRule>
  </conditionalFormatting>
  <conditionalFormatting sqref="C8">
    <cfRule type="cellIs" dxfId="401" priority="6" operator="greaterThan">
      <formula>$B$12</formula>
    </cfRule>
  </conditionalFormatting>
  <conditionalFormatting sqref="D8">
    <cfRule type="cellIs" dxfId="400" priority="5" operator="greaterThan">
      <formula>$B$12</formula>
    </cfRule>
  </conditionalFormatting>
  <conditionalFormatting sqref="C9">
    <cfRule type="cellIs" dxfId="399" priority="4" operator="greaterThan">
      <formula>$B$12</formula>
    </cfRule>
  </conditionalFormatting>
  <conditionalFormatting sqref="D9">
    <cfRule type="cellIs" dxfId="398" priority="3" operator="greaterThan">
      <formula>$B$12</formula>
    </cfRule>
  </conditionalFormatting>
  <conditionalFormatting sqref="C10">
    <cfRule type="cellIs" dxfId="39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9.88671875" style="11" bestFit="1" customWidth="1"/>
    <col min="8" max="14" width="6.6640625" style="11" customWidth="1"/>
    <col min="15" max="20" width="6.6640625" style="12" customWidth="1"/>
    <col min="21" max="34" width="6.6640625" style="11" customWidth="1"/>
    <col min="35" max="16384" width="11.44140625" style="11"/>
  </cols>
  <sheetData>
    <row r="1" spans="1:34" x14ac:dyDescent="0.3">
      <c r="A1" s="10"/>
    </row>
    <row r="2" spans="1:34" ht="18" thickBot="1" x14ac:dyDescent="0.35"/>
    <row r="3" spans="1:34" ht="18" thickBot="1" x14ac:dyDescent="0.35">
      <c r="A3" s="35" t="s">
        <v>66</v>
      </c>
      <c r="B3" s="432">
        <v>1.6</v>
      </c>
      <c r="C3" s="432"/>
      <c r="D3" s="433"/>
    </row>
    <row r="4" spans="1:34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411">
        <v>0.95</v>
      </c>
      <c r="AA4" s="412"/>
      <c r="AB4" s="412"/>
      <c r="AC4" s="412"/>
      <c r="AD4" s="412"/>
      <c r="AE4" s="413"/>
      <c r="AF4" s="391" t="s">
        <v>53</v>
      </c>
      <c r="AG4" s="392"/>
      <c r="AH4" s="393"/>
    </row>
    <row r="5" spans="1:34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414" t="s">
        <v>14</v>
      </c>
      <c r="AA5" s="415"/>
      <c r="AB5" s="416"/>
      <c r="AC5" s="414" t="s">
        <v>55</v>
      </c>
      <c r="AD5" s="415"/>
      <c r="AE5" s="416"/>
      <c r="AF5" s="394"/>
      <c r="AG5" s="395"/>
      <c r="AH5" s="396"/>
    </row>
    <row r="6" spans="1:34" ht="18" thickBot="1" x14ac:dyDescent="0.35">
      <c r="A6" s="16">
        <v>6</v>
      </c>
      <c r="B6" s="17">
        <f>(((SQRT(B5)*$B$3)/SQRT(3))*$C$15)/$A6</f>
        <v>369.50417228136052</v>
      </c>
      <c r="C6" s="17">
        <f>(((SQRT(C5)*$B$3)/SQRT(3))*$C$15)/$A6</f>
        <v>640</v>
      </c>
      <c r="D6" s="17">
        <f>(((SQRT(D5)*$B$3)/SQRT(3))*$C$15)/$A6</f>
        <v>905.09667991878086</v>
      </c>
      <c r="F6" s="106" t="str">
        <f>_2311b</f>
        <v>Lechler</v>
      </c>
      <c r="G6" s="106" t="str">
        <f>_2311c</f>
        <v>IDK 90 04 C</v>
      </c>
      <c r="H6" s="132">
        <f>_2311h</f>
        <v>1.5</v>
      </c>
      <c r="I6" s="42" t="str">
        <f>IF(H6="","","bis")</f>
        <v>bis</v>
      </c>
      <c r="J6" s="18">
        <f>_2311i</f>
        <v>8</v>
      </c>
      <c r="K6" s="20">
        <f>(((SQRT($H6)*$B$3)/SQRT(3))*60000)/($B$12*$B$15)</f>
        <v>6.7882250993908562</v>
      </c>
      <c r="L6" s="42" t="str">
        <f>IF(K6="","","bis")</f>
        <v>bis</v>
      </c>
      <c r="M6" s="18">
        <f>(((SQRT($J6)*$B$3)/SQRT(3))*60000)/($B$12*$B$15)</f>
        <v>15.676734353812344</v>
      </c>
      <c r="N6" s="132">
        <f>_2311j</f>
        <v>1.5</v>
      </c>
      <c r="O6" s="42" t="str">
        <f>IF(N6="","","bis")</f>
        <v>bis</v>
      </c>
      <c r="P6" s="18">
        <f>_2311k</f>
        <v>8</v>
      </c>
      <c r="Q6" s="20">
        <f>(((SQRT($N6)*$B$3)/SQRT(3))*60000)/($B$12*$B$15)</f>
        <v>6.7882250993908562</v>
      </c>
      <c r="R6" s="42" t="str">
        <f>IF(Q6="","","bis")</f>
        <v>bis</v>
      </c>
      <c r="S6" s="18">
        <f>(((SQRT($P6)*$B$3)/SQRT(3))*60000)/($B$12*$B$15)</f>
        <v>15.676734353812344</v>
      </c>
      <c r="T6" s="20">
        <f>_2311l</f>
        <v>1.5</v>
      </c>
      <c r="U6" s="42" t="str">
        <f>IF(T6="","","bis")</f>
        <v>bis</v>
      </c>
      <c r="V6" s="19">
        <f>_2311m</f>
        <v>8</v>
      </c>
      <c r="W6" s="20">
        <f>(((SQRT($T6)*$B$3)/SQRT(3))*60000)/($B$12*$B$15)</f>
        <v>6.7882250993908562</v>
      </c>
      <c r="X6" s="42" t="str">
        <f>IF(W6="","","bis")</f>
        <v>bis</v>
      </c>
      <c r="Y6" s="19">
        <f>(((SQRT($V6)*$B$3)/SQRT(3))*60000)/($B$12*$B$15)</f>
        <v>15.676734353812344</v>
      </c>
      <c r="Z6" s="20">
        <f>_2311n</f>
        <v>1.5</v>
      </c>
      <c r="AA6" s="42" t="str">
        <f>IF(Z6="","","bis")</f>
        <v>bis</v>
      </c>
      <c r="AB6" s="18">
        <f>_2311o</f>
        <v>8</v>
      </c>
      <c r="AC6" s="20">
        <f>(((SQRT($Z6)*$B$3)/SQRT(3))*60000)/($B$12*$B$15)</f>
        <v>6.7882250993908562</v>
      </c>
      <c r="AD6" s="42" t="str">
        <f>IF(AC6="","","bis")</f>
        <v>bis</v>
      </c>
      <c r="AE6" s="18">
        <f>(((SQRT($AB6)*$B$3)/SQRT(3))*60000)/($B$12*$B$15)</f>
        <v>15.676734353812344</v>
      </c>
      <c r="AF6" s="133">
        <f>_2311f</f>
        <v>1.5</v>
      </c>
      <c r="AG6" s="42" t="str">
        <f>IF(AF6="","","bis")</f>
        <v>bis</v>
      </c>
      <c r="AH6" s="134">
        <f>_2311g</f>
        <v>8</v>
      </c>
    </row>
    <row r="7" spans="1:34" ht="18" thickBot="1" x14ac:dyDescent="0.35">
      <c r="A7" s="21">
        <v>7</v>
      </c>
      <c r="B7" s="17">
        <f>(((SQRT(B5)*$B$3)/SQRT(3))*$C$15)/$A7</f>
        <v>316.71786195545189</v>
      </c>
      <c r="C7" s="17">
        <f>(((SQRT(C5)*$B$3)/SQRT(3))*$C$15)/$A7</f>
        <v>548.57142857142856</v>
      </c>
      <c r="D7" s="17">
        <f>(((SQRT(D5)*$B$3)/SQRT(3))*$C$15)/$A7</f>
        <v>775.79715421609785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20"/>
      <c r="AA7" s="42" t="str">
        <f>IF(Z7="","","bis")</f>
        <v/>
      </c>
      <c r="AB7" s="18"/>
      <c r="AC7" s="20">
        <f>(((SQRT($Z7)*$B$3)/SQRT(3))*60000)/($B$12*$B$15)</f>
        <v>0</v>
      </c>
      <c r="AD7" s="19" t="str">
        <f t="shared" ref="AD7:AD10" si="0">IF(AC7="","","bis")</f>
        <v>bis</v>
      </c>
      <c r="AE7" s="18">
        <f>(((SQRT($AB7)*$B$3)/SQRT(3))*60000)/($B$12*$B$15)</f>
        <v>0</v>
      </c>
      <c r="AF7" s="133"/>
      <c r="AG7" s="42" t="str">
        <f>IF(AF7="","","bis")</f>
        <v/>
      </c>
      <c r="AH7" s="134"/>
    </row>
    <row r="8" spans="1:34" ht="18" thickBot="1" x14ac:dyDescent="0.35">
      <c r="A8" s="21">
        <v>8</v>
      </c>
      <c r="B8" s="17">
        <f>(((SQRT(B5)*$B$3)/SQRT(3))*$C$15)/$A8</f>
        <v>277.12812921102039</v>
      </c>
      <c r="C8" s="17">
        <f>(((SQRT(C5)*$B$3)/SQRT(3))*1200)/$A8</f>
        <v>240</v>
      </c>
      <c r="D8" s="17">
        <f>(((SQRT(D5)*$B$3)/SQRT(3))*1200)/$A8</f>
        <v>339.41125496954282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20"/>
      <c r="AA8" s="42" t="str">
        <f>IF(Z8="","","bis")</f>
        <v/>
      </c>
      <c r="AB8" s="18"/>
      <c r="AC8" s="20">
        <f>(((SQRT($Z8)*$B$3)/SQRT(3))*60000)/($B$12*$B$15)</f>
        <v>0</v>
      </c>
      <c r="AD8" s="19" t="str">
        <f t="shared" si="0"/>
        <v>bis</v>
      </c>
      <c r="AE8" s="18">
        <f>(((SQRT($AB8)*$B$3)/SQRT(3))*60000)/($B$12*$B$15)</f>
        <v>0</v>
      </c>
      <c r="AF8" s="133"/>
      <c r="AG8" s="42" t="str">
        <f>IF(AF8="","","bis")</f>
        <v/>
      </c>
      <c r="AH8" s="134"/>
    </row>
    <row r="9" spans="1:34" ht="18" thickBot="1" x14ac:dyDescent="0.35">
      <c r="A9" s="21">
        <v>9</v>
      </c>
      <c r="B9" s="17">
        <f>(((SQRT(B5)*$B$3)/SQRT(3))*$C$15)/$A9</f>
        <v>246.33611485424035</v>
      </c>
      <c r="C9" s="17">
        <f>(((SQRT(C5)*$B$3)/SQRT(3))*$C$15)/$A9</f>
        <v>426.66666666666669</v>
      </c>
      <c r="D9" s="17">
        <f>(((SQRT(D5)*$B$3)/SQRT(3))*$C$15)/$A9</f>
        <v>603.39778661252058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20"/>
      <c r="AA9" s="42" t="str">
        <f>IF(Z9="","","bis")</f>
        <v/>
      </c>
      <c r="AB9" s="18"/>
      <c r="AC9" s="20">
        <f>(((SQRT($Z9)*$B$3)/SQRT(3))*60000)/($B$12*$B$15)</f>
        <v>0</v>
      </c>
      <c r="AD9" s="19" t="str">
        <f t="shared" si="0"/>
        <v>bis</v>
      </c>
      <c r="AE9" s="18">
        <f>(((SQRT($AB9)*$B$3)/SQRT(3))*60000)/($B$12*$B$15)</f>
        <v>0</v>
      </c>
      <c r="AF9" s="133"/>
      <c r="AG9" s="42" t="str">
        <f>IF(AF9="","","bis")</f>
        <v/>
      </c>
      <c r="AH9" s="134"/>
    </row>
    <row r="10" spans="1:34" ht="18" thickBot="1" x14ac:dyDescent="0.35">
      <c r="A10" s="22">
        <v>10</v>
      </c>
      <c r="B10" s="27">
        <f>(((SQRT(B5)*$B$3)/SQRT(3))*$C$15)/$A10</f>
        <v>221.70250336881631</v>
      </c>
      <c r="C10" s="27">
        <f>(((SQRT(C5)*$B$3)/SQRT(3))*$C$15)/$A10</f>
        <v>384</v>
      </c>
      <c r="D10" s="27">
        <f>(((SQRT(D5)*$B$3)/SQRT(3))*$C$15)/$A10</f>
        <v>543.05800795126856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20"/>
      <c r="AA10" s="42" t="str">
        <f>IF(Z10="","","bis")</f>
        <v/>
      </c>
      <c r="AB10" s="18"/>
      <c r="AC10" s="20">
        <f>(((SQRT($Z10)*$B$3)/SQRT(3))*60000)/($B$12*$B$15)</f>
        <v>0</v>
      </c>
      <c r="AD10" s="19" t="str">
        <f t="shared" si="0"/>
        <v>bis</v>
      </c>
      <c r="AE10" s="18">
        <f>(((SQRT($AB10)*$B$3)/SQRT(3))*60000)/($B$12*$B$15)</f>
        <v>0</v>
      </c>
      <c r="AF10" s="133"/>
      <c r="AG10" s="42" t="str">
        <f>IF(AF10="","","bis")</f>
        <v/>
      </c>
      <c r="AH10" s="134"/>
    </row>
    <row r="11" spans="1:34" ht="18" thickBot="1" x14ac:dyDescent="0.35">
      <c r="J11" s="2"/>
    </row>
    <row r="12" spans="1:34" ht="18" thickBot="1" x14ac:dyDescent="0.35">
      <c r="A12" s="23" t="s">
        <v>56</v>
      </c>
      <c r="B12" s="8">
        <v>400</v>
      </c>
      <c r="C12" s="24"/>
    </row>
    <row r="13" spans="1:34" ht="18" thickBot="1" x14ac:dyDescent="0.35">
      <c r="A13" s="23" t="s">
        <v>57</v>
      </c>
      <c r="B13" s="25">
        <f>POWER(((SQRT(3)*$C$13)/$B$3),2)</f>
        <v>3.2552083333333321</v>
      </c>
      <c r="C13" s="26">
        <f>(B12*B14*B15)/60000</f>
        <v>1.6666666666666667</v>
      </c>
    </row>
    <row r="14" spans="1:34" ht="18" thickBot="1" x14ac:dyDescent="0.35">
      <c r="A14" s="23" t="s">
        <v>58</v>
      </c>
      <c r="B14" s="9">
        <v>10</v>
      </c>
    </row>
    <row r="15" spans="1:34" ht="18" thickBot="1" x14ac:dyDescent="0.35">
      <c r="A15" s="23" t="s">
        <v>61</v>
      </c>
      <c r="B15" s="29">
        <v>25</v>
      </c>
      <c r="C15" s="26">
        <f>(60000/B15)</f>
        <v>2400</v>
      </c>
    </row>
  </sheetData>
  <sheetProtection algorithmName="SHA-512" hashValue="JZcjaXpmbhAhbZ9e1qO8JM5k/YsvLtjB5oplmzxw5ND2LSWcweApy9dyXBkILxc6P9Jjv5LEAcU2/8uvwycUuQ==" saltValue="4cCiQVawi0g2OkYel1GCMw==" spinCount="100000" sheet="1" objects="1" scenarios="1"/>
  <mergeCells count="14">
    <mergeCell ref="B3:D3"/>
    <mergeCell ref="H4:M4"/>
    <mergeCell ref="N4:S4"/>
    <mergeCell ref="T4:Y4"/>
    <mergeCell ref="AF4:AH5"/>
    <mergeCell ref="H5:J5"/>
    <mergeCell ref="K5:M5"/>
    <mergeCell ref="N5:P5"/>
    <mergeCell ref="Q5:S5"/>
    <mergeCell ref="T5:V5"/>
    <mergeCell ref="W5:Y5"/>
    <mergeCell ref="Z4:AE4"/>
    <mergeCell ref="Z5:AB5"/>
    <mergeCell ref="AC5:AE5"/>
  </mergeCells>
  <conditionalFormatting sqref="B9">
    <cfRule type="cellIs" dxfId="396" priority="8" operator="greaterThan">
      <formula>$B$12</formula>
    </cfRule>
  </conditionalFormatting>
  <conditionalFormatting sqref="C6">
    <cfRule type="cellIs" dxfId="395" priority="14" operator="greaterThan">
      <formula>$B$12</formula>
    </cfRule>
  </conditionalFormatting>
  <conditionalFormatting sqref="B6">
    <cfRule type="cellIs" dxfId="394" priority="15" operator="greaterThan">
      <formula>$B$12</formula>
    </cfRule>
  </conditionalFormatting>
  <conditionalFormatting sqref="B7">
    <cfRule type="cellIs" dxfId="393" priority="12" operator="greaterThan">
      <formula>$B$12</formula>
    </cfRule>
  </conditionalFormatting>
  <conditionalFormatting sqref="D10">
    <cfRule type="cellIs" dxfId="392" priority="1" operator="greaterThan">
      <formula>$B$12</formula>
    </cfRule>
  </conditionalFormatting>
  <conditionalFormatting sqref="D6">
    <cfRule type="cellIs" dxfId="391" priority="13" operator="greaterThan">
      <formula>$B$12</formula>
    </cfRule>
  </conditionalFormatting>
  <conditionalFormatting sqref="C7">
    <cfRule type="cellIs" dxfId="390" priority="11" operator="greaterThan">
      <formula>$B$12</formula>
    </cfRule>
  </conditionalFormatting>
  <conditionalFormatting sqref="D7">
    <cfRule type="cellIs" dxfId="389" priority="10" operator="greaterThan">
      <formula>$B$12</formula>
    </cfRule>
  </conditionalFormatting>
  <conditionalFormatting sqref="B8">
    <cfRule type="cellIs" dxfId="388" priority="9" operator="greaterThan">
      <formula>$B$12</formula>
    </cfRule>
  </conditionalFormatting>
  <conditionalFormatting sqref="B10">
    <cfRule type="cellIs" dxfId="387" priority="7" operator="greaterThan">
      <formula>$B$12</formula>
    </cfRule>
  </conditionalFormatting>
  <conditionalFormatting sqref="C8">
    <cfRule type="cellIs" dxfId="386" priority="6" operator="greaterThan">
      <formula>$B$12</formula>
    </cfRule>
  </conditionalFormatting>
  <conditionalFormatting sqref="D8">
    <cfRule type="cellIs" dxfId="385" priority="5" operator="greaterThan">
      <formula>$B$12</formula>
    </cfRule>
  </conditionalFormatting>
  <conditionalFormatting sqref="C9">
    <cfRule type="cellIs" dxfId="384" priority="4" operator="greaterThan">
      <formula>$B$12</formula>
    </cfRule>
  </conditionalFormatting>
  <conditionalFormatting sqref="D9">
    <cfRule type="cellIs" dxfId="383" priority="3" operator="greaterThan">
      <formula>$B$12</formula>
    </cfRule>
  </conditionalFormatting>
  <conditionalFormatting sqref="C10">
    <cfRule type="cellIs" dxfId="38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" style="1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5" t="s">
        <v>66</v>
      </c>
      <c r="B3" s="432">
        <v>1.6</v>
      </c>
      <c r="C3" s="432"/>
      <c r="D3" s="433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261.2789058968724</v>
      </c>
      <c r="C6" s="17">
        <f>(((SQRT(C5)*$B$3)/SQRT(3))*$C$15)/$A6</f>
        <v>413.11822359545789</v>
      </c>
      <c r="D6" s="17">
        <f>(((SQRT(D5)*$B$3)/SQRT(3))*$C$15)/$A6</f>
        <v>522.5578117937448</v>
      </c>
      <c r="F6" s="106" t="str">
        <f>_2294b</f>
        <v>Agrotop</v>
      </c>
      <c r="G6" s="106" t="str">
        <f>_2294c</f>
        <v>AVI-UC 110 04</v>
      </c>
      <c r="H6" s="132">
        <f>_2294h</f>
        <v>3</v>
      </c>
      <c r="I6" s="42" t="str">
        <f t="shared" ref="I6:I13" si="0">IF(H6="","","bis")</f>
        <v>bis</v>
      </c>
      <c r="J6" s="19">
        <f>_2294i</f>
        <v>5</v>
      </c>
      <c r="K6" s="20">
        <f t="shared" ref="K6:K13" si="1">(((SQRT($H6)*$B$3)/SQRT(3))*60000)/($B$12*$B$15)</f>
        <v>9.6</v>
      </c>
      <c r="L6" s="42" t="str">
        <f t="shared" ref="L6:L13" si="2">IF(K6="","","bis")</f>
        <v>bis</v>
      </c>
      <c r="M6" s="18">
        <f t="shared" ref="M6:M13" si="3">(((SQRT($J6)*$B$3)/SQRT(3))*60000)/($B$12*$B$15)</f>
        <v>12.393546707863736</v>
      </c>
      <c r="N6" s="19">
        <f>_2294j</f>
        <v>3</v>
      </c>
      <c r="O6" s="42" t="str">
        <f t="shared" ref="O6:O13" si="4">IF(N6="","","bis")</f>
        <v>bis</v>
      </c>
      <c r="P6" s="18">
        <f>_2294k</f>
        <v>5</v>
      </c>
      <c r="Q6" s="20">
        <f t="shared" ref="Q6:Q13" si="5">(((SQRT($N6)*$B$3)/SQRT(3))*60000)/($B$12*$B$15)</f>
        <v>9.6</v>
      </c>
      <c r="R6" s="42" t="str">
        <f t="shared" ref="R6:R13" si="6">IF(Q6="","","bis")</f>
        <v>bis</v>
      </c>
      <c r="S6" s="18">
        <f t="shared" ref="S6:S13" si="7">(((SQRT($P6)*$B$3)/SQRT(3))*60000)/($B$12*$B$15)</f>
        <v>12.393546707863736</v>
      </c>
      <c r="T6" s="20">
        <f>_2294l</f>
        <v>3</v>
      </c>
      <c r="U6" s="42" t="str">
        <f t="shared" ref="U6:U13" si="8">IF(T6="","","bis")</f>
        <v>bis</v>
      </c>
      <c r="V6" s="19">
        <f>_2294m</f>
        <v>3</v>
      </c>
      <c r="W6" s="20">
        <f t="shared" ref="W6:W13" si="9">(((SQRT($T6)*$B$3)/SQRT(3))*60000)/($B$12*$B$15)</f>
        <v>9.6</v>
      </c>
      <c r="X6" s="42" t="str">
        <f t="shared" ref="X6:X13" si="10">IF(W6="","","bis")</f>
        <v>bis</v>
      </c>
      <c r="Y6" s="19">
        <f t="shared" ref="Y6:Y13" si="11">(((SQRT($V6)*$B$3)/SQRT(3))*60000)/($B$12*$B$15)</f>
        <v>9.6</v>
      </c>
      <c r="Z6" s="133">
        <f>_2294f</f>
        <v>3</v>
      </c>
      <c r="AA6" s="42" t="str">
        <f t="shared" ref="AA6:AA13" si="12">IF(Z6="","","bis")</f>
        <v>bis</v>
      </c>
      <c r="AB6" s="134">
        <f>_2294g</f>
        <v>7</v>
      </c>
    </row>
    <row r="7" spans="1:28" ht="18" thickBot="1" x14ac:dyDescent="0.35">
      <c r="A7" s="21">
        <v>7</v>
      </c>
      <c r="B7" s="17">
        <f>(((SQRT(B5)*$B$3)/SQRT(3))*$C$15)/$A7</f>
        <v>223.95334791160491</v>
      </c>
      <c r="C7" s="17">
        <f>(((SQRT(C5)*$B$3)/SQRT(3))*$C$15)/$A7</f>
        <v>354.10133451039246</v>
      </c>
      <c r="D7" s="17">
        <f>(((SQRT(D5)*$B$3)/SQRT(3))*$C$15)/$A7</f>
        <v>447.90669582320982</v>
      </c>
      <c r="F7" s="106" t="str">
        <f>_1972b</f>
        <v>Lechler</v>
      </c>
      <c r="G7" s="106" t="str">
        <f>_1972c</f>
        <v>ID (3) 120 04</v>
      </c>
      <c r="H7" s="132">
        <f>_1972h</f>
        <v>2</v>
      </c>
      <c r="I7" s="42" t="str">
        <f t="shared" si="0"/>
        <v>bis</v>
      </c>
      <c r="J7" s="18">
        <f>_1972i</f>
        <v>8</v>
      </c>
      <c r="K7" s="20">
        <f t="shared" si="1"/>
        <v>7.8383671769061722</v>
      </c>
      <c r="L7" s="42" t="str">
        <f t="shared" si="2"/>
        <v>bis</v>
      </c>
      <c r="M7" s="18">
        <f t="shared" si="3"/>
        <v>15.676734353812344</v>
      </c>
      <c r="N7" s="20">
        <f>_1972j</f>
        <v>2</v>
      </c>
      <c r="O7" s="42" t="str">
        <f t="shared" si="4"/>
        <v>bis</v>
      </c>
      <c r="P7" s="18">
        <f>_1972k</f>
        <v>6</v>
      </c>
      <c r="Q7" s="20">
        <f t="shared" si="5"/>
        <v>7.8383671769061722</v>
      </c>
      <c r="R7" s="42" t="str">
        <f t="shared" si="6"/>
        <v>bis</v>
      </c>
      <c r="S7" s="18">
        <f t="shared" si="7"/>
        <v>13.576450198781712</v>
      </c>
      <c r="T7" s="20">
        <f>_1972l</f>
        <v>2</v>
      </c>
      <c r="U7" s="42" t="str">
        <f t="shared" si="8"/>
        <v>bis</v>
      </c>
      <c r="V7" s="18">
        <f>_1972m</f>
        <v>3</v>
      </c>
      <c r="W7" s="20">
        <f t="shared" si="9"/>
        <v>7.8383671769061722</v>
      </c>
      <c r="X7" s="42" t="str">
        <f t="shared" si="10"/>
        <v>bis</v>
      </c>
      <c r="Y7" s="18">
        <f t="shared" si="11"/>
        <v>9.6</v>
      </c>
      <c r="Z7" s="133">
        <f>_1972f</f>
        <v>2</v>
      </c>
      <c r="AA7" s="42" t="str">
        <f t="shared" si="12"/>
        <v>bis</v>
      </c>
      <c r="AB7" s="134">
        <f>_1972g</f>
        <v>8</v>
      </c>
    </row>
    <row r="8" spans="1:28" ht="18" thickBot="1" x14ac:dyDescent="0.35">
      <c r="A8" s="21">
        <v>8</v>
      </c>
      <c r="B8" s="17">
        <f>(((SQRT(B5)*$B$3)/SQRT(3))*$C$15)/$A8</f>
        <v>195.9591794226543</v>
      </c>
      <c r="C8" s="17">
        <f>(((SQRT(C5)*$B$3)/SQRT(3))*1200)/$A8</f>
        <v>309.8386676965934</v>
      </c>
      <c r="D8" s="17">
        <f>(((SQRT(D5)*$B$3)/SQRT(3))*1200)/$A8</f>
        <v>391.9183588453086</v>
      </c>
      <c r="F8" s="106" t="str">
        <f>_2206b</f>
        <v>Lechler</v>
      </c>
      <c r="G8" s="106" t="str">
        <f>_2206c</f>
        <v>PSULDCQ2004</v>
      </c>
      <c r="H8" s="132">
        <f>_2206h</f>
        <v>2</v>
      </c>
      <c r="I8" s="42" t="str">
        <f t="shared" si="0"/>
        <v>bis</v>
      </c>
      <c r="J8" s="18">
        <f>_2206i</f>
        <v>8</v>
      </c>
      <c r="K8" s="20">
        <f t="shared" si="1"/>
        <v>7.8383671769061722</v>
      </c>
      <c r="L8" s="42" t="str">
        <f t="shared" si="2"/>
        <v>bis</v>
      </c>
      <c r="M8" s="18">
        <f t="shared" si="3"/>
        <v>15.676734353812344</v>
      </c>
      <c r="N8" s="20">
        <f>_2206j</f>
        <v>2</v>
      </c>
      <c r="O8" s="42" t="str">
        <f t="shared" si="4"/>
        <v>bis</v>
      </c>
      <c r="P8" s="18">
        <f>_2206k</f>
        <v>6</v>
      </c>
      <c r="Q8" s="20">
        <f t="shared" si="5"/>
        <v>7.8383671769061722</v>
      </c>
      <c r="R8" s="42" t="str">
        <f t="shared" si="6"/>
        <v>bis</v>
      </c>
      <c r="S8" s="18">
        <f t="shared" si="7"/>
        <v>13.576450198781712</v>
      </c>
      <c r="T8" s="20">
        <f>_2206l</f>
        <v>2</v>
      </c>
      <c r="U8" s="42" t="str">
        <f t="shared" si="8"/>
        <v>bis</v>
      </c>
      <c r="V8" s="18">
        <f>_2206m</f>
        <v>2.5</v>
      </c>
      <c r="W8" s="20">
        <f t="shared" si="9"/>
        <v>7.8383671769061722</v>
      </c>
      <c r="X8" s="42" t="str">
        <f t="shared" si="10"/>
        <v>bis</v>
      </c>
      <c r="Y8" s="18">
        <f t="shared" si="11"/>
        <v>8.7635609200826607</v>
      </c>
      <c r="Z8" s="133">
        <f>_2206f</f>
        <v>2</v>
      </c>
      <c r="AA8" s="42" t="str">
        <f t="shared" si="12"/>
        <v>bis</v>
      </c>
      <c r="AB8" s="134">
        <f>_2206g</f>
        <v>8</v>
      </c>
    </row>
    <row r="9" spans="1:28" ht="18" thickBot="1" x14ac:dyDescent="0.35">
      <c r="A9" s="21">
        <v>9</v>
      </c>
      <c r="B9" s="17">
        <f>(((SQRT(B5)*$B$3)/SQRT(3))*$C$15)/$A9</f>
        <v>174.18593726458161</v>
      </c>
      <c r="C9" s="17">
        <f>(((SQRT(C5)*$B$3)/SQRT(3))*$C$15)/$A9</f>
        <v>275.41214906363859</v>
      </c>
      <c r="D9" s="17">
        <f>(((SQRT(D5)*$B$3)/SQRT(3))*$C$15)/$A9</f>
        <v>348.37187452916322</v>
      </c>
      <c r="F9" s="106" t="str">
        <f>_1779b</f>
        <v>Hypro</v>
      </c>
      <c r="G9" s="106" t="str">
        <f>_1779c</f>
        <v>PSULDQ2004A</v>
      </c>
      <c r="H9" s="132">
        <f>_1779h</f>
        <v>2.5</v>
      </c>
      <c r="I9" s="42" t="str">
        <f t="shared" si="0"/>
        <v>bis</v>
      </c>
      <c r="J9" s="18">
        <f>_1779i</f>
        <v>8</v>
      </c>
      <c r="K9" s="20">
        <f t="shared" si="1"/>
        <v>8.7635609200826607</v>
      </c>
      <c r="L9" s="42" t="str">
        <f t="shared" si="2"/>
        <v>bis</v>
      </c>
      <c r="M9" s="18">
        <f t="shared" si="3"/>
        <v>15.676734353812344</v>
      </c>
      <c r="N9" s="20">
        <f>_1779j</f>
        <v>2.5</v>
      </c>
      <c r="O9" s="42" t="str">
        <f t="shared" si="4"/>
        <v>bis</v>
      </c>
      <c r="P9" s="18">
        <f>_1779k</f>
        <v>8</v>
      </c>
      <c r="Q9" s="20">
        <f t="shared" si="5"/>
        <v>8.7635609200826607</v>
      </c>
      <c r="R9" s="42" t="str">
        <f t="shared" si="6"/>
        <v>bis</v>
      </c>
      <c r="S9" s="18">
        <f t="shared" si="7"/>
        <v>15.676734353812344</v>
      </c>
      <c r="T9" s="20">
        <f>_1779l</f>
        <v>2.5</v>
      </c>
      <c r="U9" s="42" t="str">
        <f t="shared" si="8"/>
        <v>bis</v>
      </c>
      <c r="V9" s="19">
        <f>_1779m</f>
        <v>2.5</v>
      </c>
      <c r="W9" s="20">
        <f t="shared" si="9"/>
        <v>8.7635609200826607</v>
      </c>
      <c r="X9" s="42" t="str">
        <f t="shared" si="10"/>
        <v>bis</v>
      </c>
      <c r="Y9" s="18">
        <f t="shared" si="11"/>
        <v>8.7635609200826607</v>
      </c>
      <c r="Z9" s="133">
        <f>_1779f</f>
        <v>2.5</v>
      </c>
      <c r="AA9" s="42" t="str">
        <f t="shared" si="12"/>
        <v>bis</v>
      </c>
      <c r="AB9" s="134">
        <f>_1779g</f>
        <v>8</v>
      </c>
    </row>
    <row r="10" spans="1:28" ht="18" thickBot="1" x14ac:dyDescent="0.35">
      <c r="A10" s="22">
        <v>10</v>
      </c>
      <c r="B10" s="27">
        <f>(((SQRT(B5)*$B$3)/SQRT(3))*$C$15)/$A10</f>
        <v>156.76734353812344</v>
      </c>
      <c r="C10" s="27">
        <f>(((SQRT(C5)*$B$3)/SQRT(3))*$C$15)/$A10</f>
        <v>247.87093415727472</v>
      </c>
      <c r="D10" s="27">
        <f>(((SQRT(D5)*$B$3)/SQRT(3))*$C$15)/$A10</f>
        <v>313.53468707624688</v>
      </c>
      <c r="F10" s="106" t="str">
        <f>_1739b</f>
        <v>TeeJet</v>
      </c>
      <c r="G10" s="106" t="str">
        <f>_1739c</f>
        <v>TTI 110 04</v>
      </c>
      <c r="H10" s="132">
        <f>_1739h</f>
        <v>1.5</v>
      </c>
      <c r="I10" s="42" t="str">
        <f t="shared" si="0"/>
        <v>bis</v>
      </c>
      <c r="J10" s="18">
        <f>_1739i</f>
        <v>5</v>
      </c>
      <c r="K10" s="20">
        <f t="shared" si="1"/>
        <v>6.7882250993908562</v>
      </c>
      <c r="L10" s="42" t="str">
        <f t="shared" si="2"/>
        <v>bis</v>
      </c>
      <c r="M10" s="18">
        <f t="shared" si="3"/>
        <v>12.393546707863736</v>
      </c>
      <c r="N10" s="20">
        <f>_1739j</f>
        <v>1.5</v>
      </c>
      <c r="O10" s="42" t="str">
        <f t="shared" si="4"/>
        <v>bis</v>
      </c>
      <c r="P10" s="18">
        <f>_1739k</f>
        <v>3</v>
      </c>
      <c r="Q10" s="20">
        <f t="shared" si="5"/>
        <v>6.7882250993908562</v>
      </c>
      <c r="R10" s="42" t="str">
        <f t="shared" si="6"/>
        <v>bis</v>
      </c>
      <c r="S10" s="18">
        <f t="shared" si="7"/>
        <v>9.6</v>
      </c>
      <c r="T10" s="20">
        <f>_1739l</f>
        <v>1.5</v>
      </c>
      <c r="U10" s="42" t="str">
        <f t="shared" si="8"/>
        <v>bis</v>
      </c>
      <c r="V10" s="18">
        <f>_1739m</f>
        <v>2</v>
      </c>
      <c r="W10" s="20">
        <f t="shared" si="9"/>
        <v>6.7882250993908562</v>
      </c>
      <c r="X10" s="42" t="str">
        <f t="shared" si="10"/>
        <v>bis</v>
      </c>
      <c r="Y10" s="18">
        <f t="shared" si="11"/>
        <v>7.8383671769061722</v>
      </c>
      <c r="Z10" s="133">
        <f>_1739f</f>
        <v>1.5</v>
      </c>
      <c r="AA10" s="42" t="str">
        <f t="shared" si="12"/>
        <v>bis</v>
      </c>
      <c r="AB10" s="134">
        <f>_1739g</f>
        <v>7</v>
      </c>
    </row>
    <row r="11" spans="1:28" ht="18" thickBot="1" x14ac:dyDescent="0.35">
      <c r="F11" s="106" t="str">
        <f>_b1779b</f>
        <v>Hypro</v>
      </c>
      <c r="G11" s="106" t="str">
        <f>_b1779c</f>
        <v>ULD 04</v>
      </c>
      <c r="H11" s="132">
        <f>_b1779h</f>
        <v>2.5</v>
      </c>
      <c r="I11" s="42" t="str">
        <f t="shared" si="0"/>
        <v>bis</v>
      </c>
      <c r="J11" s="18">
        <f>_b1779i</f>
        <v>8</v>
      </c>
      <c r="K11" s="20">
        <f t="shared" si="1"/>
        <v>8.7635609200826607</v>
      </c>
      <c r="L11" s="42" t="str">
        <f t="shared" si="2"/>
        <v>bis</v>
      </c>
      <c r="M11" s="18">
        <f t="shared" si="3"/>
        <v>15.676734353812344</v>
      </c>
      <c r="N11" s="20">
        <f>_b1779j</f>
        <v>2.5</v>
      </c>
      <c r="O11" s="42" t="str">
        <f t="shared" si="4"/>
        <v>bis</v>
      </c>
      <c r="P11" s="18">
        <f>_b1779k</f>
        <v>8</v>
      </c>
      <c r="Q11" s="20">
        <f t="shared" si="5"/>
        <v>8.7635609200826607</v>
      </c>
      <c r="R11" s="42" t="str">
        <f t="shared" si="6"/>
        <v>bis</v>
      </c>
      <c r="S11" s="18">
        <f t="shared" si="7"/>
        <v>15.676734353812344</v>
      </c>
      <c r="T11" s="20">
        <f>_b1779l</f>
        <v>2.5</v>
      </c>
      <c r="U11" s="42" t="str">
        <f t="shared" si="8"/>
        <v>bis</v>
      </c>
      <c r="V11" s="18">
        <f>_b1779m</f>
        <v>2.5</v>
      </c>
      <c r="W11" s="20">
        <f t="shared" si="9"/>
        <v>8.7635609200826607</v>
      </c>
      <c r="X11" s="42" t="str">
        <f t="shared" si="10"/>
        <v>bis</v>
      </c>
      <c r="Y11" s="18">
        <f t="shared" si="11"/>
        <v>8.7635609200826607</v>
      </c>
      <c r="Z11" s="133">
        <f>_b1779f</f>
        <v>2.5</v>
      </c>
      <c r="AA11" s="42" t="str">
        <f t="shared" si="12"/>
        <v>bis</v>
      </c>
      <c r="AB11" s="134">
        <f>_b1779g</f>
        <v>8</v>
      </c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  <c r="F12" s="106"/>
      <c r="G12" s="106"/>
      <c r="H12" s="132"/>
      <c r="I12" s="42" t="str">
        <f t="shared" si="0"/>
        <v/>
      </c>
      <c r="J12" s="18"/>
      <c r="K12" s="20">
        <f t="shared" si="1"/>
        <v>0</v>
      </c>
      <c r="L12" s="42" t="str">
        <f t="shared" si="2"/>
        <v>bis</v>
      </c>
      <c r="M12" s="18">
        <f t="shared" si="3"/>
        <v>0</v>
      </c>
      <c r="N12" s="20"/>
      <c r="O12" s="42" t="str">
        <f t="shared" si="4"/>
        <v/>
      </c>
      <c r="P12" s="18"/>
      <c r="Q12" s="20">
        <f t="shared" si="5"/>
        <v>0</v>
      </c>
      <c r="R12" s="42" t="str">
        <f t="shared" si="6"/>
        <v>bis</v>
      </c>
      <c r="S12" s="18">
        <f t="shared" si="7"/>
        <v>0</v>
      </c>
      <c r="T12" s="20"/>
      <c r="U12" s="42" t="str">
        <f t="shared" si="8"/>
        <v/>
      </c>
      <c r="V12" s="18"/>
      <c r="W12" s="20">
        <f t="shared" si="9"/>
        <v>0</v>
      </c>
      <c r="X12" s="42" t="str">
        <f t="shared" si="10"/>
        <v>bis</v>
      </c>
      <c r="Y12" s="18">
        <f t="shared" si="11"/>
        <v>0</v>
      </c>
      <c r="Z12" s="133"/>
      <c r="AA12" s="42" t="str">
        <f t="shared" si="12"/>
        <v/>
      </c>
      <c r="AB12" s="134"/>
    </row>
    <row r="13" spans="1:28" ht="18" thickBot="1" x14ac:dyDescent="0.35">
      <c r="A13" s="23" t="s">
        <v>57</v>
      </c>
      <c r="B13" s="25">
        <f>POWER(((SQRT(3)*$C$13)/$B$3),2)</f>
        <v>4.6874999999999991</v>
      </c>
      <c r="C13" s="26">
        <f>(B12*B14*B15)/60000</f>
        <v>2</v>
      </c>
      <c r="D13" s="25">
        <f>POWER(((SQRT(3)*$E$13)/$B$3),2)</f>
        <v>9.4075520833333321</v>
      </c>
      <c r="E13" s="26">
        <f>(D12*D14*D15)/60000</f>
        <v>2.8333333333333335</v>
      </c>
      <c r="F13" s="106"/>
      <c r="G13" s="106"/>
      <c r="H13" s="132"/>
      <c r="I13" s="42" t="str">
        <f t="shared" si="0"/>
        <v/>
      </c>
      <c r="J13" s="18"/>
      <c r="K13" s="20">
        <f t="shared" si="1"/>
        <v>0</v>
      </c>
      <c r="L13" s="42" t="str">
        <f t="shared" si="2"/>
        <v>bis</v>
      </c>
      <c r="M13" s="18">
        <f t="shared" si="3"/>
        <v>0</v>
      </c>
      <c r="N13" s="20"/>
      <c r="O13" s="42" t="str">
        <f t="shared" si="4"/>
        <v/>
      </c>
      <c r="P13" s="18"/>
      <c r="Q13" s="20">
        <f t="shared" si="5"/>
        <v>0</v>
      </c>
      <c r="R13" s="42" t="str">
        <f t="shared" si="6"/>
        <v>bis</v>
      </c>
      <c r="S13" s="18">
        <f t="shared" si="7"/>
        <v>0</v>
      </c>
      <c r="T13" s="20"/>
      <c r="U13" s="42" t="str">
        <f t="shared" si="8"/>
        <v/>
      </c>
      <c r="V13" s="18"/>
      <c r="W13" s="20">
        <f t="shared" si="9"/>
        <v>0</v>
      </c>
      <c r="X13" s="42" t="str">
        <f t="shared" si="10"/>
        <v>bis</v>
      </c>
      <c r="Y13" s="18">
        <f t="shared" si="11"/>
        <v>0</v>
      </c>
      <c r="Z13" s="133"/>
      <c r="AA13" s="42" t="str">
        <f t="shared" si="12"/>
        <v/>
      </c>
      <c r="AB13" s="134"/>
    </row>
    <row r="14" spans="1:28" ht="18" thickBot="1" x14ac:dyDescent="0.35">
      <c r="A14" s="23" t="s">
        <v>58</v>
      </c>
      <c r="B14" s="9">
        <v>12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40M/9DuIDBaiDcvPWfDChDonj0+MfwHiuNT8q7N306DTKvxm9XC43DtCHSAKRrcsmDRyw2JUymUNAJhwb+TXpA==" saltValue="JIZpMCyhVPdCDMKEcogHbA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381" priority="8" operator="greaterThan">
      <formula>$B$12</formula>
    </cfRule>
  </conditionalFormatting>
  <conditionalFormatting sqref="C6">
    <cfRule type="cellIs" dxfId="380" priority="14" operator="greaterThan">
      <formula>$B$12</formula>
    </cfRule>
  </conditionalFormatting>
  <conditionalFormatting sqref="B6">
    <cfRule type="cellIs" dxfId="379" priority="15" operator="greaterThan">
      <formula>$B$12</formula>
    </cfRule>
  </conditionalFormatting>
  <conditionalFormatting sqref="B7">
    <cfRule type="cellIs" dxfId="378" priority="12" operator="greaterThan">
      <formula>$B$12</formula>
    </cfRule>
  </conditionalFormatting>
  <conditionalFormatting sqref="D10">
    <cfRule type="cellIs" dxfId="377" priority="1" operator="greaterThan">
      <formula>$B$12</formula>
    </cfRule>
  </conditionalFormatting>
  <conditionalFormatting sqref="D6">
    <cfRule type="cellIs" dxfId="376" priority="13" operator="greaterThan">
      <formula>$B$12</formula>
    </cfRule>
  </conditionalFormatting>
  <conditionalFormatting sqref="C7">
    <cfRule type="cellIs" dxfId="375" priority="11" operator="greaterThan">
      <formula>$B$12</formula>
    </cfRule>
  </conditionalFormatting>
  <conditionalFormatting sqref="D7">
    <cfRule type="cellIs" dxfId="374" priority="10" operator="greaterThan">
      <formula>$B$12</formula>
    </cfRule>
  </conditionalFormatting>
  <conditionalFormatting sqref="B8">
    <cfRule type="cellIs" dxfId="373" priority="9" operator="greaterThan">
      <formula>$B$12</formula>
    </cfRule>
  </conditionalFormatting>
  <conditionalFormatting sqref="B10">
    <cfRule type="cellIs" dxfId="372" priority="7" operator="greaterThan">
      <formula>$B$12</formula>
    </cfRule>
  </conditionalFormatting>
  <conditionalFormatting sqref="C8">
    <cfRule type="cellIs" dxfId="371" priority="6" operator="greaterThan">
      <formula>$B$12</formula>
    </cfRule>
  </conditionalFormatting>
  <conditionalFormatting sqref="D8">
    <cfRule type="cellIs" dxfId="370" priority="5" operator="greaterThan">
      <formula>$B$12</formula>
    </cfRule>
  </conditionalFormatting>
  <conditionalFormatting sqref="C9">
    <cfRule type="cellIs" dxfId="369" priority="4" operator="greaterThan">
      <formula>$B$12</formula>
    </cfRule>
  </conditionalFormatting>
  <conditionalFormatting sqref="D9">
    <cfRule type="cellIs" dxfId="368" priority="3" operator="greaterThan">
      <formula>$B$12</formula>
    </cfRule>
  </conditionalFormatting>
  <conditionalFormatting sqref="C10">
    <cfRule type="cellIs" dxfId="36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6.332031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5" t="s">
        <v>66</v>
      </c>
      <c r="B3" s="432">
        <v>1.6</v>
      </c>
      <c r="C3" s="432"/>
      <c r="D3" s="433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184.75208614068026</v>
      </c>
      <c r="C6" s="17">
        <f>(((SQRT(C5)*$B$3)/SQRT(3))*$C$15)/$A6</f>
        <v>320</v>
      </c>
      <c r="D6" s="17">
        <f>(((SQRT(D5)*$B$3)/SQRT(3))*$C$15)/$A6</f>
        <v>452.54833995939043</v>
      </c>
      <c r="F6" s="106" t="str">
        <f>_1905b</f>
        <v>Agrotop</v>
      </c>
      <c r="G6" s="106" t="str">
        <f>_1905c</f>
        <v>CVI Twin 110 04</v>
      </c>
      <c r="H6" s="132">
        <f>_1905h</f>
        <v>1.5</v>
      </c>
      <c r="I6" s="42" t="str">
        <f t="shared" ref="I6:I15" si="0">IF(H6="","","bis")</f>
        <v>bis</v>
      </c>
      <c r="J6" s="19">
        <f>_1905i</f>
        <v>6</v>
      </c>
      <c r="K6" s="20">
        <f t="shared" ref="K6:K15" si="1">(((SQRT($H6)*$B$3)/SQRT(3))*60000)/($B$12*$B$15)</f>
        <v>6.7882250993908562</v>
      </c>
      <c r="L6" s="42" t="str">
        <f t="shared" ref="L6:L15" si="2">IF(K6="","","bis")</f>
        <v>bis</v>
      </c>
      <c r="M6" s="18">
        <f t="shared" ref="M6:M15" si="3">(((SQRT($J6)*$B$3)/SQRT(3))*60000)/($B$12*$B$15)</f>
        <v>13.576450198781712</v>
      </c>
      <c r="N6" s="19">
        <f>_1905j</f>
        <v>1.5</v>
      </c>
      <c r="O6" s="42" t="str">
        <f t="shared" ref="O6:O15" si="4">IF(N6="","","bis")</f>
        <v>bis</v>
      </c>
      <c r="P6" s="18">
        <f>_1905k</f>
        <v>6</v>
      </c>
      <c r="Q6" s="20">
        <f t="shared" ref="Q6:Q15" si="5">(((SQRT($N6)*$B$3)/SQRT(3))*60000)/($B$12*$B$15)</f>
        <v>6.7882250993908562</v>
      </c>
      <c r="R6" s="42" t="str">
        <f t="shared" ref="R6:R15" si="6">IF(Q6="","","bis")</f>
        <v>bis</v>
      </c>
      <c r="S6" s="18">
        <f t="shared" ref="S6:S15" si="7">(((SQRT($P6)*$B$3)/SQRT(3))*60000)/($B$12*$B$15)</f>
        <v>13.576450198781712</v>
      </c>
      <c r="T6" s="20">
        <f>_1905l</f>
        <v>1.5</v>
      </c>
      <c r="U6" s="42" t="str">
        <f>IF(T6="","","bis")</f>
        <v>bis</v>
      </c>
      <c r="V6" s="19">
        <f>_1905m</f>
        <v>1.5</v>
      </c>
      <c r="W6" s="20">
        <f t="shared" ref="W6:W15" si="8">(((SQRT($T6)*$B$3)/SQRT(3))*60000)/($B$12*$B$15)</f>
        <v>6.7882250993908562</v>
      </c>
      <c r="X6" s="42" t="str">
        <f t="shared" ref="X6:X15" si="9">IF(W6="","","bis")</f>
        <v>bis</v>
      </c>
      <c r="Y6" s="19">
        <f t="shared" ref="Y6:Y15" si="10">(((SQRT($V6)*$B$3)/SQRT(3))*60000)/($B$12*$B$15)</f>
        <v>6.7882250993908562</v>
      </c>
      <c r="Z6" s="133">
        <f>_1905f</f>
        <v>1.5</v>
      </c>
      <c r="AA6" s="42" t="str">
        <f t="shared" ref="AA6:AA15" si="11">IF(Z6="","","bis")</f>
        <v>bis</v>
      </c>
      <c r="AB6" s="134">
        <f>_1905g</f>
        <v>6</v>
      </c>
    </row>
    <row r="7" spans="1:28" ht="18" thickBot="1" x14ac:dyDescent="0.35">
      <c r="A7" s="21">
        <v>7</v>
      </c>
      <c r="B7" s="17">
        <f>(((SQRT(B5)*$B$3)/SQRT(3))*$C$15)/$A7</f>
        <v>158.35893097772595</v>
      </c>
      <c r="C7" s="17">
        <f>(((SQRT(C5)*$B$3)/SQRT(3))*$C$15)/$A7</f>
        <v>274.28571428571428</v>
      </c>
      <c r="D7" s="17">
        <f>(((SQRT(D5)*$B$3)/SQRT(3))*$C$15)/$A7</f>
        <v>387.89857710804893</v>
      </c>
      <c r="F7" s="106" t="str">
        <f>_1883b</f>
        <v>Lechler</v>
      </c>
      <c r="G7" s="106" t="str">
        <f>_1883c</f>
        <v>IDKT 120 04</v>
      </c>
      <c r="H7" s="132">
        <f>_1883h</f>
        <v>1</v>
      </c>
      <c r="I7" s="42" t="str">
        <f t="shared" si="0"/>
        <v>bis</v>
      </c>
      <c r="J7" s="18">
        <f>_1883i</f>
        <v>2</v>
      </c>
      <c r="K7" s="20">
        <f t="shared" si="1"/>
        <v>5.5425625842204074</v>
      </c>
      <c r="L7" s="42" t="str">
        <f t="shared" si="2"/>
        <v>bis</v>
      </c>
      <c r="M7" s="18">
        <f t="shared" si="3"/>
        <v>7.8383671769061722</v>
      </c>
      <c r="N7" s="20">
        <f>_1883j</f>
        <v>1</v>
      </c>
      <c r="O7" s="42" t="str">
        <f t="shared" si="4"/>
        <v>bis</v>
      </c>
      <c r="P7" s="18">
        <f>_1883k</f>
        <v>1.5</v>
      </c>
      <c r="Q7" s="20">
        <f t="shared" si="5"/>
        <v>5.5425625842204074</v>
      </c>
      <c r="R7" s="42" t="str">
        <f t="shared" si="6"/>
        <v>bis</v>
      </c>
      <c r="S7" s="18">
        <f t="shared" si="7"/>
        <v>6.7882250993908562</v>
      </c>
      <c r="T7" s="20">
        <f>_1883l</f>
        <v>1</v>
      </c>
      <c r="U7" s="42" t="str">
        <f>IF(T7="","","bis")</f>
        <v>bis</v>
      </c>
      <c r="V7" s="18">
        <f>_1883m</f>
        <v>1</v>
      </c>
      <c r="W7" s="20">
        <f t="shared" si="8"/>
        <v>5.5425625842204074</v>
      </c>
      <c r="X7" s="42" t="str">
        <f t="shared" si="9"/>
        <v>bis</v>
      </c>
      <c r="Y7" s="18">
        <f t="shared" si="10"/>
        <v>5.5425625842204074</v>
      </c>
      <c r="Z7" s="133">
        <f>_1883f</f>
        <v>1</v>
      </c>
      <c r="AA7" s="42" t="str">
        <f t="shared" si="11"/>
        <v>bis</v>
      </c>
      <c r="AB7" s="134">
        <f>_1883g</f>
        <v>6</v>
      </c>
    </row>
    <row r="8" spans="1:28" ht="18" thickBot="1" x14ac:dyDescent="0.35">
      <c r="A8" s="21">
        <v>8</v>
      </c>
      <c r="B8" s="17">
        <f>(((SQRT(B5)*$B$3)/SQRT(3))*$C$15)/$A8</f>
        <v>138.5640646055102</v>
      </c>
      <c r="C8" s="17">
        <f>(((SQRT(C5)*$B$3)/SQRT(3))*1200)/$A8</f>
        <v>240</v>
      </c>
      <c r="D8" s="17">
        <f>(((SQRT(D5)*$B$3)/SQRT(3))*1200)/$A8</f>
        <v>339.41125496954282</v>
      </c>
      <c r="F8" s="106" t="str">
        <f>_1837b</f>
        <v>Lechler</v>
      </c>
      <c r="G8" s="106" t="str">
        <f>_1837c</f>
        <v>IDKT 120 04 C</v>
      </c>
      <c r="H8" s="132">
        <f>_1837h</f>
        <v>1</v>
      </c>
      <c r="I8" s="42" t="str">
        <f t="shared" si="0"/>
        <v>bis</v>
      </c>
      <c r="J8" s="18">
        <f>_1837i</f>
        <v>3</v>
      </c>
      <c r="K8" s="20">
        <f t="shared" si="1"/>
        <v>5.5425625842204074</v>
      </c>
      <c r="L8" s="42" t="str">
        <f t="shared" si="2"/>
        <v>bis</v>
      </c>
      <c r="M8" s="18">
        <f t="shared" si="3"/>
        <v>9.6</v>
      </c>
      <c r="N8" s="20">
        <f>_1837j</f>
        <v>1</v>
      </c>
      <c r="O8" s="42" t="str">
        <f t="shared" si="4"/>
        <v>bis</v>
      </c>
      <c r="P8" s="18">
        <f>_1837k</f>
        <v>1.5</v>
      </c>
      <c r="Q8" s="20">
        <f t="shared" si="5"/>
        <v>5.5425625842204074</v>
      </c>
      <c r="R8" s="42" t="str">
        <f t="shared" si="6"/>
        <v>bis</v>
      </c>
      <c r="S8" s="18">
        <f t="shared" si="7"/>
        <v>6.7882250993908562</v>
      </c>
      <c r="T8" s="20">
        <f>_1837l</f>
        <v>1</v>
      </c>
      <c r="U8" s="42" t="str">
        <f>IF(T8="","","bis")</f>
        <v>bis</v>
      </c>
      <c r="V8" s="18">
        <f>_1837m</f>
        <v>1</v>
      </c>
      <c r="W8" s="20">
        <f t="shared" si="8"/>
        <v>5.5425625842204074</v>
      </c>
      <c r="X8" s="42" t="str">
        <f t="shared" si="9"/>
        <v>bis</v>
      </c>
      <c r="Y8" s="18">
        <f t="shared" si="10"/>
        <v>5.5425625842204074</v>
      </c>
      <c r="Z8" s="133">
        <f>_1837f</f>
        <v>1</v>
      </c>
      <c r="AA8" s="42" t="str">
        <f t="shared" si="11"/>
        <v>bis</v>
      </c>
      <c r="AB8" s="134">
        <f>_1837g</f>
        <v>6</v>
      </c>
    </row>
    <row r="9" spans="1:28" ht="18" thickBot="1" x14ac:dyDescent="0.35">
      <c r="A9" s="21">
        <v>9</v>
      </c>
      <c r="B9" s="17">
        <f>(((SQRT(B5)*$B$3)/SQRT(3))*$C$15)/$A9</f>
        <v>123.16805742712017</v>
      </c>
      <c r="C9" s="17">
        <f>(((SQRT(C5)*$B$3)/SQRT(3))*$C$15)/$A9</f>
        <v>213.33333333333334</v>
      </c>
      <c r="D9" s="17">
        <f>(((SQRT(D5)*$B$3)/SQRT(3))*$C$15)/$A9</f>
        <v>301.69889330626029</v>
      </c>
      <c r="F9" s="106" t="str">
        <f>_1908b</f>
        <v>Hardi</v>
      </c>
      <c r="G9" s="106" t="str">
        <f>_1908c</f>
        <v>MiniDrift Duo 110 04</v>
      </c>
      <c r="H9" s="132">
        <f>_1908h</f>
        <v>1</v>
      </c>
      <c r="I9" s="42" t="str">
        <f t="shared" si="0"/>
        <v>bis</v>
      </c>
      <c r="J9" s="18">
        <f>_1908i</f>
        <v>2</v>
      </c>
      <c r="K9" s="20">
        <f t="shared" si="1"/>
        <v>5.5425625842204074</v>
      </c>
      <c r="L9" s="42" t="str">
        <f t="shared" si="2"/>
        <v>bis</v>
      </c>
      <c r="M9" s="18">
        <f t="shared" si="3"/>
        <v>7.8383671769061722</v>
      </c>
      <c r="N9" s="20">
        <f>_1908J</f>
        <v>1</v>
      </c>
      <c r="O9" s="42" t="str">
        <f t="shared" si="4"/>
        <v>bis</v>
      </c>
      <c r="P9" s="18">
        <f>_1908k</f>
        <v>1.5</v>
      </c>
      <c r="Q9" s="20">
        <f t="shared" si="5"/>
        <v>5.5425625842204074</v>
      </c>
      <c r="R9" s="42" t="str">
        <f t="shared" si="6"/>
        <v>bis</v>
      </c>
      <c r="S9" s="18">
        <f t="shared" si="7"/>
        <v>6.7882250993908562</v>
      </c>
      <c r="T9" s="20">
        <f>_1908l</f>
        <v>1</v>
      </c>
      <c r="U9" s="42" t="str">
        <f>IF(T9="","","bis")</f>
        <v>bis</v>
      </c>
      <c r="V9" s="19">
        <f>_1908m</f>
        <v>1</v>
      </c>
      <c r="W9" s="20">
        <f t="shared" si="8"/>
        <v>5.5425625842204074</v>
      </c>
      <c r="X9" s="42" t="str">
        <f t="shared" si="9"/>
        <v>bis</v>
      </c>
      <c r="Y9" s="18">
        <f t="shared" si="10"/>
        <v>5.5425625842204074</v>
      </c>
      <c r="Z9" s="133">
        <f>_1908f</f>
        <v>1</v>
      </c>
      <c r="AA9" s="42" t="str">
        <f t="shared" si="11"/>
        <v>bis</v>
      </c>
      <c r="AB9" s="134">
        <f>_1908g</f>
        <v>6</v>
      </c>
    </row>
    <row r="10" spans="1:28" ht="18" thickBot="1" x14ac:dyDescent="0.35">
      <c r="A10" s="22">
        <v>10</v>
      </c>
      <c r="B10" s="27">
        <f>(((SQRT(B5)*$B$3)/SQRT(3))*$C$15)/$A10</f>
        <v>110.85125168440815</v>
      </c>
      <c r="C10" s="27">
        <f>(((SQRT(C5)*$B$3)/SQRT(3))*$C$15)/$A10</f>
        <v>192</v>
      </c>
      <c r="D10" s="27">
        <f>(((SQRT(D5)*$B$3)/SQRT(3))*$C$15)/$A10</f>
        <v>271.52900397563428</v>
      </c>
      <c r="F10" s="106" t="str">
        <f>_2212b</f>
        <v>Lechler</v>
      </c>
      <c r="G10" s="106" t="str">
        <f>_2212c</f>
        <v>PSGATCQ2004</v>
      </c>
      <c r="H10" s="132">
        <f>_2212h</f>
        <v>1</v>
      </c>
      <c r="I10" s="42" t="str">
        <f t="shared" si="0"/>
        <v>bis</v>
      </c>
      <c r="J10" s="18">
        <f>_2212i</f>
        <v>3</v>
      </c>
      <c r="K10" s="20">
        <f t="shared" si="1"/>
        <v>5.5425625842204074</v>
      </c>
      <c r="L10" s="42" t="str">
        <f t="shared" si="2"/>
        <v>bis</v>
      </c>
      <c r="M10" s="18">
        <f t="shared" si="3"/>
        <v>9.6</v>
      </c>
      <c r="N10" s="20">
        <f>_2212j</f>
        <v>1</v>
      </c>
      <c r="O10" s="42" t="str">
        <f t="shared" si="4"/>
        <v>bis</v>
      </c>
      <c r="P10" s="18">
        <f>_2212k</f>
        <v>1.5</v>
      </c>
      <c r="Q10" s="20">
        <f t="shared" si="5"/>
        <v>5.5425625842204074</v>
      </c>
      <c r="R10" s="42" t="str">
        <f t="shared" si="6"/>
        <v>bis</v>
      </c>
      <c r="S10" s="18">
        <f t="shared" si="7"/>
        <v>6.7882250993908562</v>
      </c>
      <c r="T10" s="20">
        <f>_2212l</f>
        <v>1</v>
      </c>
      <c r="U10" s="42" t="str">
        <f>IF(T10="","","bis")</f>
        <v>bis</v>
      </c>
      <c r="V10" s="18">
        <f>_2212m</f>
        <v>1</v>
      </c>
      <c r="W10" s="20">
        <f t="shared" si="8"/>
        <v>5.5425625842204074</v>
      </c>
      <c r="X10" s="42" t="str">
        <f t="shared" si="9"/>
        <v>bis</v>
      </c>
      <c r="Y10" s="18">
        <f t="shared" si="10"/>
        <v>5.5425625842204074</v>
      </c>
      <c r="Z10" s="133">
        <f>_2212f</f>
        <v>1</v>
      </c>
      <c r="AA10" s="42" t="str">
        <f t="shared" si="11"/>
        <v>bis</v>
      </c>
      <c r="AB10" s="134">
        <f>_2212g</f>
        <v>6</v>
      </c>
    </row>
    <row r="11" spans="1:28" ht="18" thickBot="1" x14ac:dyDescent="0.35">
      <c r="F11" s="106" t="str">
        <f>_2231b</f>
        <v>Hardi</v>
      </c>
      <c r="G11" s="106" t="str">
        <f>_2231c</f>
        <v>NanoDrift ND 04</v>
      </c>
      <c r="H11" s="132">
        <f>_2231h</f>
        <v>1</v>
      </c>
      <c r="I11" s="42" t="str">
        <f t="shared" si="0"/>
        <v>bis</v>
      </c>
      <c r="J11" s="18">
        <f>_2231i</f>
        <v>4</v>
      </c>
      <c r="K11" s="20">
        <f t="shared" si="1"/>
        <v>5.5425625842204074</v>
      </c>
      <c r="L11" s="42" t="str">
        <f t="shared" si="2"/>
        <v>bis</v>
      </c>
      <c r="M11" s="18">
        <f t="shared" si="3"/>
        <v>11.085125168440815</v>
      </c>
      <c r="N11" s="20">
        <f>_2231j</f>
        <v>1</v>
      </c>
      <c r="O11" s="42" t="str">
        <f t="shared" si="4"/>
        <v>bis</v>
      </c>
      <c r="P11" s="18">
        <f>_2231k</f>
        <v>2</v>
      </c>
      <c r="Q11" s="20">
        <f t="shared" si="5"/>
        <v>5.5425625842204074</v>
      </c>
      <c r="R11" s="42" t="str">
        <f t="shared" si="6"/>
        <v>bis</v>
      </c>
      <c r="S11" s="18">
        <f t="shared" si="7"/>
        <v>7.8383671769061722</v>
      </c>
      <c r="T11" s="20">
        <f>_2231l</f>
        <v>1</v>
      </c>
      <c r="U11" s="42"/>
      <c r="V11" s="18">
        <f>_2231m</f>
        <v>1</v>
      </c>
      <c r="W11" s="20">
        <f t="shared" si="8"/>
        <v>5.5425625842204074</v>
      </c>
      <c r="X11" s="42" t="str">
        <f t="shared" si="9"/>
        <v>bis</v>
      </c>
      <c r="Y11" s="18">
        <f t="shared" si="10"/>
        <v>5.5425625842204074</v>
      </c>
      <c r="Z11" s="133">
        <f>_2231f</f>
        <v>1</v>
      </c>
      <c r="AA11" s="42" t="str">
        <f t="shared" si="11"/>
        <v>bis</v>
      </c>
      <c r="AB11" s="134">
        <f>_2231g</f>
        <v>6</v>
      </c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  <c r="F12" s="106"/>
      <c r="G12" s="106"/>
      <c r="H12" s="132"/>
      <c r="I12" s="42" t="str">
        <f t="shared" si="0"/>
        <v/>
      </c>
      <c r="J12" s="18"/>
      <c r="K12" s="20">
        <f t="shared" si="1"/>
        <v>0</v>
      </c>
      <c r="L12" s="42" t="str">
        <f t="shared" si="2"/>
        <v>bis</v>
      </c>
      <c r="M12" s="18">
        <f t="shared" si="3"/>
        <v>0</v>
      </c>
      <c r="N12" s="20"/>
      <c r="O12" s="42" t="str">
        <f t="shared" si="4"/>
        <v/>
      </c>
      <c r="P12" s="18"/>
      <c r="Q12" s="20">
        <f t="shared" si="5"/>
        <v>0</v>
      </c>
      <c r="R12" s="42" t="str">
        <f t="shared" si="6"/>
        <v>bis</v>
      </c>
      <c r="S12" s="18">
        <f t="shared" si="7"/>
        <v>0</v>
      </c>
      <c r="T12" s="20"/>
      <c r="U12" s="42"/>
      <c r="V12" s="18"/>
      <c r="W12" s="20">
        <f t="shared" si="8"/>
        <v>0</v>
      </c>
      <c r="X12" s="42" t="str">
        <f t="shared" si="9"/>
        <v>bis</v>
      </c>
      <c r="Y12" s="18">
        <f t="shared" si="10"/>
        <v>0</v>
      </c>
      <c r="Z12" s="133"/>
      <c r="AA12" s="42" t="str">
        <f t="shared" si="11"/>
        <v/>
      </c>
      <c r="AB12" s="134"/>
    </row>
    <row r="13" spans="1:28" ht="18" thickBot="1" x14ac:dyDescent="0.35">
      <c r="A13" s="23" t="s">
        <v>57</v>
      </c>
      <c r="B13" s="25">
        <f>POWER(((SQRT(3)*$C$13)/$B$3),2)</f>
        <v>0.81380208333333304</v>
      </c>
      <c r="C13" s="26">
        <f>(B12*B14*B15)/60000</f>
        <v>0.83333333333333337</v>
      </c>
      <c r="D13" s="25">
        <f>POWER(((SQRT(3)*$E$13)/$B$3),2)</f>
        <v>9.4075520833333321</v>
      </c>
      <c r="E13" s="26">
        <f>(D12*D14*D15)/60000</f>
        <v>2.8333333333333335</v>
      </c>
      <c r="F13" s="106"/>
      <c r="G13" s="106"/>
      <c r="H13" s="132"/>
      <c r="I13" s="42" t="str">
        <f t="shared" si="0"/>
        <v/>
      </c>
      <c r="J13" s="18"/>
      <c r="K13" s="20">
        <f t="shared" si="1"/>
        <v>0</v>
      </c>
      <c r="L13" s="42" t="str">
        <f t="shared" si="2"/>
        <v>bis</v>
      </c>
      <c r="M13" s="18">
        <f t="shared" si="3"/>
        <v>0</v>
      </c>
      <c r="N13" s="20"/>
      <c r="O13" s="42" t="str">
        <f t="shared" si="4"/>
        <v/>
      </c>
      <c r="P13" s="18"/>
      <c r="Q13" s="20">
        <f t="shared" si="5"/>
        <v>0</v>
      </c>
      <c r="R13" s="42" t="str">
        <f t="shared" si="6"/>
        <v>bis</v>
      </c>
      <c r="S13" s="18">
        <f t="shared" si="7"/>
        <v>0</v>
      </c>
      <c r="T13" s="20"/>
      <c r="U13" s="42"/>
      <c r="V13" s="18"/>
      <c r="W13" s="20">
        <f t="shared" si="8"/>
        <v>0</v>
      </c>
      <c r="X13" s="42" t="str">
        <f t="shared" si="9"/>
        <v>bis</v>
      </c>
      <c r="Y13" s="18">
        <f t="shared" si="10"/>
        <v>0</v>
      </c>
      <c r="Z13" s="133"/>
      <c r="AA13" s="42" t="str">
        <f t="shared" si="11"/>
        <v/>
      </c>
      <c r="AB13" s="134"/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  <c r="F14" s="106"/>
      <c r="G14" s="106"/>
      <c r="H14" s="132"/>
      <c r="I14" s="42" t="str">
        <f t="shared" si="0"/>
        <v/>
      </c>
      <c r="J14" s="18"/>
      <c r="K14" s="20">
        <f t="shared" si="1"/>
        <v>0</v>
      </c>
      <c r="L14" s="42" t="str">
        <f t="shared" si="2"/>
        <v>bis</v>
      </c>
      <c r="M14" s="18">
        <f t="shared" si="3"/>
        <v>0</v>
      </c>
      <c r="N14" s="20"/>
      <c r="O14" s="42" t="str">
        <f t="shared" si="4"/>
        <v/>
      </c>
      <c r="P14" s="18"/>
      <c r="Q14" s="20">
        <f t="shared" si="5"/>
        <v>0</v>
      </c>
      <c r="R14" s="42" t="str">
        <f t="shared" si="6"/>
        <v>bis</v>
      </c>
      <c r="S14" s="18">
        <f t="shared" si="7"/>
        <v>0</v>
      </c>
      <c r="T14" s="20"/>
      <c r="U14" s="42"/>
      <c r="V14" s="18"/>
      <c r="W14" s="20">
        <f t="shared" si="8"/>
        <v>0</v>
      </c>
      <c r="X14" s="42" t="str">
        <f t="shared" si="9"/>
        <v>bis</v>
      </c>
      <c r="Y14" s="18">
        <f t="shared" si="10"/>
        <v>0</v>
      </c>
      <c r="Z14" s="133"/>
      <c r="AA14" s="42" t="str">
        <f t="shared" si="11"/>
        <v/>
      </c>
      <c r="AB14" s="134"/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  <c r="F15" s="106"/>
      <c r="G15" s="106"/>
      <c r="H15" s="132"/>
      <c r="I15" s="42" t="str">
        <f t="shared" si="0"/>
        <v/>
      </c>
      <c r="J15" s="18"/>
      <c r="K15" s="20">
        <f t="shared" si="1"/>
        <v>0</v>
      </c>
      <c r="L15" s="42" t="str">
        <f t="shared" si="2"/>
        <v>bis</v>
      </c>
      <c r="M15" s="18">
        <f t="shared" si="3"/>
        <v>0</v>
      </c>
      <c r="N15" s="20"/>
      <c r="O15" s="42" t="str">
        <f t="shared" si="4"/>
        <v/>
      </c>
      <c r="P15" s="18"/>
      <c r="Q15" s="20">
        <f t="shared" si="5"/>
        <v>0</v>
      </c>
      <c r="R15" s="42" t="str">
        <f t="shared" si="6"/>
        <v>bis</v>
      </c>
      <c r="S15" s="18">
        <f t="shared" si="7"/>
        <v>0</v>
      </c>
      <c r="T15" s="20"/>
      <c r="U15" s="42"/>
      <c r="V15" s="18"/>
      <c r="W15" s="20">
        <f t="shared" si="8"/>
        <v>0</v>
      </c>
      <c r="X15" s="42" t="str">
        <f t="shared" si="9"/>
        <v>bis</v>
      </c>
      <c r="Y15" s="18">
        <f t="shared" si="10"/>
        <v>0</v>
      </c>
      <c r="Z15" s="133"/>
      <c r="AA15" s="42" t="str">
        <f t="shared" si="11"/>
        <v/>
      </c>
      <c r="AB15" s="134"/>
    </row>
  </sheetData>
  <sheetProtection algorithmName="SHA-512" hashValue="TN5UGStZQ4hOk4UuqOYsKYWNcxa8KV5HrRzV5ziMLTN3cRpVZRnQb6ZHVc568KQznaeGXFORRXPmFz4nToOJvQ==" saltValue="MsAIjEClOGutldOkFjXrEw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366" priority="8" operator="greaterThan">
      <formula>$B$12</formula>
    </cfRule>
  </conditionalFormatting>
  <conditionalFormatting sqref="C6">
    <cfRule type="cellIs" dxfId="365" priority="14" operator="greaterThan">
      <formula>$B$12</formula>
    </cfRule>
  </conditionalFormatting>
  <conditionalFormatting sqref="B6">
    <cfRule type="cellIs" dxfId="364" priority="15" operator="greaterThan">
      <formula>$B$12</formula>
    </cfRule>
  </conditionalFormatting>
  <conditionalFormatting sqref="B7">
    <cfRule type="cellIs" dxfId="363" priority="12" operator="greaterThan">
      <formula>$B$12</formula>
    </cfRule>
  </conditionalFormatting>
  <conditionalFormatting sqref="D10">
    <cfRule type="cellIs" dxfId="362" priority="1" operator="greaterThan">
      <formula>$B$12</formula>
    </cfRule>
  </conditionalFormatting>
  <conditionalFormatting sqref="D6">
    <cfRule type="cellIs" dxfId="361" priority="13" operator="greaterThan">
      <formula>$B$12</formula>
    </cfRule>
  </conditionalFormatting>
  <conditionalFormatting sqref="C7">
    <cfRule type="cellIs" dxfId="360" priority="11" operator="greaterThan">
      <formula>$B$12</formula>
    </cfRule>
  </conditionalFormatting>
  <conditionalFormatting sqref="D7">
    <cfRule type="cellIs" dxfId="359" priority="10" operator="greaterThan">
      <formula>$B$12</formula>
    </cfRule>
  </conditionalFormatting>
  <conditionalFormatting sqref="B8">
    <cfRule type="cellIs" dxfId="358" priority="9" operator="greaterThan">
      <formula>$B$12</formula>
    </cfRule>
  </conditionalFormatting>
  <conditionalFormatting sqref="B10">
    <cfRule type="cellIs" dxfId="357" priority="7" operator="greaterThan">
      <formula>$B$12</formula>
    </cfRule>
  </conditionalFormatting>
  <conditionalFormatting sqref="C8">
    <cfRule type="cellIs" dxfId="356" priority="6" operator="greaterThan">
      <formula>$B$12</formula>
    </cfRule>
  </conditionalFormatting>
  <conditionalFormatting sqref="D8">
    <cfRule type="cellIs" dxfId="355" priority="5" operator="greaterThan">
      <formula>$B$12</formula>
    </cfRule>
  </conditionalFormatting>
  <conditionalFormatting sqref="C9">
    <cfRule type="cellIs" dxfId="354" priority="4" operator="greaterThan">
      <formula>$B$12</formula>
    </cfRule>
  </conditionalFormatting>
  <conditionalFormatting sqref="D9">
    <cfRule type="cellIs" dxfId="353" priority="3" operator="greaterThan">
      <formula>$B$12</formula>
    </cfRule>
  </conditionalFormatting>
  <conditionalFormatting sqref="C10">
    <cfRule type="cellIs" dxfId="35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30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5" t="s">
        <v>66</v>
      </c>
      <c r="B3" s="432">
        <v>1.6</v>
      </c>
      <c r="C3" s="432"/>
      <c r="D3" s="433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261.2789058968724</v>
      </c>
      <c r="C6" s="17">
        <f>(((SQRT(C5)*$B$3)/SQRT(3))*$C$15)/$A6</f>
        <v>413.11822359545789</v>
      </c>
      <c r="D6" s="17">
        <f>(((SQRT(D5)*$B$3)/SQRT(3))*$C$15)/$A6</f>
        <v>522.5578117937448</v>
      </c>
      <c r="F6" s="106" t="str">
        <f>_1848b</f>
        <v>TeeJet</v>
      </c>
      <c r="G6" s="106" t="str">
        <f>_1848c</f>
        <v>AITTJ60 110 04</v>
      </c>
      <c r="H6" s="132">
        <f>_1848h</f>
        <v>1.5</v>
      </c>
      <c r="I6" s="42" t="str">
        <f>IF(H6="","","bis")</f>
        <v>bis</v>
      </c>
      <c r="J6" s="19">
        <f>_1848i</f>
        <v>4</v>
      </c>
      <c r="K6" s="20">
        <f>(((SQRT($H6)*$B$3)/SQRT(3))*60000)/($B$12*$B$15)</f>
        <v>6.7882250993908562</v>
      </c>
      <c r="L6" s="42" t="str">
        <f>IF(K6="","","bis")</f>
        <v>bis</v>
      </c>
      <c r="M6" s="18">
        <f>(((SQRT($J6)*$B$3)/SQRT(3))*60000)/($B$12*$B$15)</f>
        <v>11.085125168440815</v>
      </c>
      <c r="N6" s="19">
        <f>_1848j</f>
        <v>1.5</v>
      </c>
      <c r="O6" s="42" t="str">
        <f>IF(N6="","","bis")</f>
        <v>bis</v>
      </c>
      <c r="P6" s="18">
        <f>_1848k</f>
        <v>2</v>
      </c>
      <c r="Q6" s="20">
        <f>(((SQRT($N6)*$B$3)/SQRT(3))*60000)/($B$12*$B$15)</f>
        <v>6.7882250993908562</v>
      </c>
      <c r="R6" s="42" t="str">
        <f>IF(Q6="","","bis")</f>
        <v>bis</v>
      </c>
      <c r="S6" s="18">
        <f>(((SQRT($P6)*$B$3)/SQRT(3))*60000)/($B$12*$B$15)</f>
        <v>7.8383671769061722</v>
      </c>
      <c r="T6" s="20">
        <f>_1848l</f>
        <v>1.5</v>
      </c>
      <c r="U6" s="42" t="str">
        <f>IF(T6="","","bis")</f>
        <v>bis</v>
      </c>
      <c r="V6" s="19">
        <f>_1848m</f>
        <v>1.5</v>
      </c>
      <c r="W6" s="20">
        <f>(((SQRT($T6)*$B$3)/SQRT(3))*60000)/($B$12*$B$15)</f>
        <v>6.7882250993908562</v>
      </c>
      <c r="X6" s="42" t="str">
        <f>IF(W6="","","bis")</f>
        <v>bis</v>
      </c>
      <c r="Y6" s="19">
        <f>(((SQRT($V6)*$B$3)/SQRT(3))*60000)/($B$12*$B$15)</f>
        <v>6.7882250993908562</v>
      </c>
      <c r="Z6" s="133">
        <f>_1848f</f>
        <v>1.5</v>
      </c>
      <c r="AA6" s="42" t="str">
        <f>IF(Z6="","","bis")</f>
        <v>bis</v>
      </c>
      <c r="AB6" s="134">
        <f>_1848g</f>
        <v>8</v>
      </c>
    </row>
    <row r="7" spans="1:28" ht="18" thickBot="1" x14ac:dyDescent="0.35">
      <c r="A7" s="21">
        <v>7</v>
      </c>
      <c r="B7" s="17">
        <f>(((SQRT(B5)*$B$3)/SQRT(3))*$C$15)/$A7</f>
        <v>223.95334791160491</v>
      </c>
      <c r="C7" s="17">
        <f>(((SQRT(C5)*$B$3)/SQRT(3))*$C$15)/$A7</f>
        <v>354.10133451039246</v>
      </c>
      <c r="D7" s="17">
        <f>(((SQRT(D5)*$B$3)/SQRT(3))*$C$15)/$A7</f>
        <v>447.90669582320982</v>
      </c>
      <c r="F7" s="106" t="str">
        <f>_2017b</f>
        <v>Lechler</v>
      </c>
      <c r="G7" s="106" t="str">
        <f>_2017c</f>
        <v>IDTA 120 04 C</v>
      </c>
      <c r="H7" s="132">
        <f>_2017h</f>
        <v>0</v>
      </c>
      <c r="I7" s="42" t="str">
        <f>IF(H7="","","bis")</f>
        <v>bis</v>
      </c>
      <c r="J7" s="19">
        <f>_2017i</f>
        <v>0</v>
      </c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19">
        <f>_2017j</f>
        <v>1</v>
      </c>
      <c r="O7" s="42" t="str">
        <f>IF(N7="","","bis")</f>
        <v>bis</v>
      </c>
      <c r="P7" s="18">
        <f>_2017k</f>
        <v>2</v>
      </c>
      <c r="Q7" s="20">
        <f>(((SQRT($N7)*$B$3)/SQRT(3))*60000)/($B$12*$B$15)</f>
        <v>5.5425625842204074</v>
      </c>
      <c r="R7" s="42" t="str">
        <f>IF(Q7="","","bis")</f>
        <v>bis</v>
      </c>
      <c r="S7" s="18">
        <f>(((SQRT($P7)*$B$3)/SQRT(3))*60000)/($B$12*$B$15)</f>
        <v>7.8383671769061722</v>
      </c>
      <c r="T7" s="20">
        <f>_2017l</f>
        <v>1</v>
      </c>
      <c r="U7" s="42" t="str">
        <f>IF(T7="","","bis")</f>
        <v>bis</v>
      </c>
      <c r="V7" s="19">
        <f>_2017m</f>
        <v>1.5</v>
      </c>
      <c r="W7" s="20">
        <f>(((SQRT($T7)*$B$3)/SQRT(3))*60000)/($B$12*$B$15)</f>
        <v>5.5425625842204074</v>
      </c>
      <c r="X7" s="42" t="str">
        <f>IF(W7="","","bis")</f>
        <v>bis</v>
      </c>
      <c r="Y7" s="18">
        <f>(((SQRT($V7)*$B$3)/SQRT(3))*60000)/($B$12*$B$15)</f>
        <v>6.7882250993908562</v>
      </c>
      <c r="Z7" s="133">
        <f>_2017f</f>
        <v>1</v>
      </c>
      <c r="AA7" s="42" t="str">
        <f>IF(Z7="","","bis")</f>
        <v>bis</v>
      </c>
      <c r="AB7" s="134">
        <f>_2017g</f>
        <v>8</v>
      </c>
    </row>
    <row r="8" spans="1:28" ht="18" thickBot="1" x14ac:dyDescent="0.35">
      <c r="A8" s="21">
        <v>8</v>
      </c>
      <c r="B8" s="17">
        <f>(((SQRT(B5)*$B$3)/SQRT(3))*$C$15)/$A8</f>
        <v>195.9591794226543</v>
      </c>
      <c r="C8" s="17">
        <f>(((SQRT(C5)*$B$3)/SQRT(3))*1200)/$A8</f>
        <v>309.8386676965934</v>
      </c>
      <c r="D8" s="17">
        <f>(((SQRT(D5)*$B$3)/SQRT(3))*1200)/$A8</f>
        <v>391.9183588453086</v>
      </c>
      <c r="F8" s="106" t="str">
        <f>_b2019b</f>
        <v>Lechler</v>
      </c>
      <c r="G8" s="106" t="str">
        <f>_b2019c</f>
        <v>PSAULDCQ2004</v>
      </c>
      <c r="H8" s="132">
        <f>_b2019h</f>
        <v>0</v>
      </c>
      <c r="I8" s="42" t="str">
        <f>IF(H8="","","bis")</f>
        <v>bis</v>
      </c>
      <c r="J8" s="18">
        <f>_b2019i</f>
        <v>0</v>
      </c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>
        <f>_b2019j</f>
        <v>1</v>
      </c>
      <c r="O8" s="42" t="str">
        <f>IF(N8="","","bis")</f>
        <v>bis</v>
      </c>
      <c r="P8" s="18">
        <f>_b2019k</f>
        <v>2</v>
      </c>
      <c r="Q8" s="20">
        <f>(((SQRT($N8)*$B$3)/SQRT(3))*60000)/($B$12*$B$15)</f>
        <v>5.5425625842204074</v>
      </c>
      <c r="R8" s="42" t="str">
        <f>IF(Q8="","","bis")</f>
        <v>bis</v>
      </c>
      <c r="S8" s="18">
        <f>(((SQRT($P8)*$B$3)/SQRT(3))*60000)/($B$12*$B$15)</f>
        <v>7.8383671769061722</v>
      </c>
      <c r="T8" s="20">
        <f>_b2019l</f>
        <v>1</v>
      </c>
      <c r="U8" s="42" t="str">
        <f>IF(T8="","","bis")</f>
        <v>bis</v>
      </c>
      <c r="V8" s="18">
        <f>_b2019m</f>
        <v>1.5</v>
      </c>
      <c r="W8" s="20">
        <f>(((SQRT($T8)*$B$3)/SQRT(3))*60000)/($B$12*$B$15)</f>
        <v>5.5425625842204074</v>
      </c>
      <c r="X8" s="42" t="str">
        <f>IF(W8="","","bis")</f>
        <v>bis</v>
      </c>
      <c r="Y8" s="18">
        <f>(((SQRT($V8)*$B$3)/SQRT(3))*60000)/($B$12*$B$15)</f>
        <v>6.7882250993908562</v>
      </c>
      <c r="Z8" s="133">
        <f>_b2019f</f>
        <v>1</v>
      </c>
      <c r="AA8" s="42" t="str">
        <f>IF(Z8="","","bis")</f>
        <v>bis</v>
      </c>
      <c r="AB8" s="134">
        <f>_b2019g</f>
        <v>8</v>
      </c>
    </row>
    <row r="9" spans="1:28" ht="18" thickBot="1" x14ac:dyDescent="0.35">
      <c r="A9" s="21">
        <v>9</v>
      </c>
      <c r="B9" s="17">
        <f>(((SQRT(B5)*$B$3)/SQRT(3))*$C$15)/$A9</f>
        <v>174.18593726458161</v>
      </c>
      <c r="C9" s="17">
        <f>(((SQRT(C5)*$B$3)/SQRT(3))*$C$15)/$A9</f>
        <v>275.41214906363859</v>
      </c>
      <c r="D9" s="17">
        <f>(((SQRT(D5)*$B$3)/SQRT(3))*$C$15)/$A9</f>
        <v>348.37187452916322</v>
      </c>
      <c r="F9" s="106" t="str">
        <f>_2047b</f>
        <v>TeeJet</v>
      </c>
      <c r="G9" s="106" t="str">
        <f>_2047c</f>
        <v>TTI60-110 04 VP-C</v>
      </c>
      <c r="H9" s="132">
        <f>_2047h</f>
        <v>1.5</v>
      </c>
      <c r="I9" s="42" t="str">
        <f>IF(H9="","","bis")</f>
        <v>bis</v>
      </c>
      <c r="J9" s="18">
        <f>_2047i</f>
        <v>7</v>
      </c>
      <c r="K9" s="20">
        <f>(((SQRT($H9)*$B$3)/SQRT(3))*60000)/($B$12*$B$15)</f>
        <v>6.7882250993908562</v>
      </c>
      <c r="L9" s="42" t="str">
        <f>IF(K9="","","bis")</f>
        <v>bis</v>
      </c>
      <c r="M9" s="18">
        <f>(((SQRT($J9)*$B$3)/SQRT(3))*60000)/($B$12*$B$15)</f>
        <v>14.664242223858691</v>
      </c>
      <c r="N9" s="20">
        <f>_2047j</f>
        <v>1.5</v>
      </c>
      <c r="O9" s="42" t="str">
        <f>IF(N9="","","bis")</f>
        <v>bis</v>
      </c>
      <c r="P9" s="18">
        <f>_2047k</f>
        <v>4</v>
      </c>
      <c r="Q9" s="20">
        <f>(((SQRT($N9)*$B$3)/SQRT(3))*60000)/($B$12*$B$15)</f>
        <v>6.7882250993908562</v>
      </c>
      <c r="R9" s="42" t="str">
        <f>IF(Q9="","","bis")</f>
        <v>bis</v>
      </c>
      <c r="S9" s="18">
        <f>(((SQRT($P9)*$B$3)/SQRT(3))*60000)/($B$12*$B$15)</f>
        <v>11.085125168440815</v>
      </c>
      <c r="T9" s="20">
        <f>_2047l</f>
        <v>1.5</v>
      </c>
      <c r="U9" s="42" t="str">
        <f>IF(T9="","","bis")</f>
        <v>bis</v>
      </c>
      <c r="V9" s="19">
        <f>_2047m</f>
        <v>3</v>
      </c>
      <c r="W9" s="20">
        <f>(((SQRT($T9)*$B$3)/SQRT(3))*60000)/($B$12*$B$15)</f>
        <v>6.7882250993908562</v>
      </c>
      <c r="X9" s="42" t="str">
        <f>IF(W9="","","bis")</f>
        <v>bis</v>
      </c>
      <c r="Y9" s="18">
        <f>(((SQRT($V9)*$B$3)/SQRT(3))*60000)/($B$12*$B$15)</f>
        <v>9.6</v>
      </c>
      <c r="Z9" s="133">
        <f>_2047f</f>
        <v>1.5</v>
      </c>
      <c r="AA9" s="42" t="str">
        <f>IF(Z9="","","bis")</f>
        <v>bis</v>
      </c>
      <c r="AB9" s="134">
        <f>_2047g</f>
        <v>7</v>
      </c>
    </row>
    <row r="10" spans="1:28" ht="18" thickBot="1" x14ac:dyDescent="0.35">
      <c r="A10" s="22">
        <v>10</v>
      </c>
      <c r="B10" s="27">
        <f>(((SQRT(B5)*$B$3)/SQRT(3))*$C$15)/$A10</f>
        <v>156.76734353812344</v>
      </c>
      <c r="C10" s="27">
        <f>(((SQRT(C5)*$B$3)/SQRT(3))*$C$15)/$A10</f>
        <v>247.87093415727472</v>
      </c>
      <c r="D10" s="27">
        <f>(((SQRT(D5)*$B$3)/SQRT(3))*$C$15)/$A10</f>
        <v>313.53468707624688</v>
      </c>
      <c r="F10" s="106" t="str">
        <f>_1821b</f>
        <v>Agrotop</v>
      </c>
      <c r="G10" s="106" t="str">
        <f>_1821c</f>
        <v>TurboDrop HiSpeed 04</v>
      </c>
      <c r="H10" s="132">
        <f>_1821h</f>
        <v>2</v>
      </c>
      <c r="I10" s="42" t="str">
        <f>IF(H10="","","bis")</f>
        <v>bis</v>
      </c>
      <c r="J10" s="18">
        <f>_1821i</f>
        <v>6</v>
      </c>
      <c r="K10" s="20">
        <f>(((SQRT($H10)*$B$3)/SQRT(3))*60000)/($B$12*$B$15)</f>
        <v>7.8383671769061722</v>
      </c>
      <c r="L10" s="42" t="str">
        <f>IF(K10="","","bis")</f>
        <v>bis</v>
      </c>
      <c r="M10" s="18">
        <f>(((SQRT($J10)*$B$3)/SQRT(3))*60000)/($B$12*$B$15)</f>
        <v>13.576450198781712</v>
      </c>
      <c r="N10" s="20">
        <f>_1821j</f>
        <v>2</v>
      </c>
      <c r="O10" s="42" t="str">
        <f>IF(N10="","","bis")</f>
        <v>bis</v>
      </c>
      <c r="P10" s="18">
        <f>_1821k</f>
        <v>3</v>
      </c>
      <c r="Q10" s="20">
        <f>(((SQRT($N10)*$B$3)/SQRT(3))*60000)/($B$12*$B$15)</f>
        <v>7.8383671769061722</v>
      </c>
      <c r="R10" s="42" t="str">
        <f>IF(Q10="","","bis")</f>
        <v>bis</v>
      </c>
      <c r="S10" s="18">
        <f>(((SQRT($P10)*$B$3)/SQRT(3))*60000)/($B$12*$B$15)</f>
        <v>9.6</v>
      </c>
      <c r="T10" s="20">
        <f>_1821l</f>
        <v>2</v>
      </c>
      <c r="U10" s="42" t="str">
        <f>IF(T10="","","bis")</f>
        <v>bis</v>
      </c>
      <c r="V10" s="18">
        <f>_1821m</f>
        <v>2</v>
      </c>
      <c r="W10" s="20">
        <f>(((SQRT($T10)*$B$3)/SQRT(3))*60000)/($B$12*$B$15)</f>
        <v>7.8383671769061722</v>
      </c>
      <c r="X10" s="42" t="str">
        <f>IF(W10="","","bis")</f>
        <v>bis</v>
      </c>
      <c r="Y10" s="18">
        <f>(((SQRT($V10)*$B$3)/SQRT(3))*60000)/($B$12*$B$15)</f>
        <v>7.8383671769061722</v>
      </c>
      <c r="Z10" s="133">
        <f>_1821f</f>
        <v>2</v>
      </c>
      <c r="AA10" s="42" t="str">
        <f>IF(Z10="","","bis")</f>
        <v>bis</v>
      </c>
      <c r="AB10" s="134">
        <f>_1821g</f>
        <v>8</v>
      </c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0.81380208333333304</v>
      </c>
      <c r="C13" s="26">
        <f>(B12*B14*B15)/60000</f>
        <v>0.83333333333333337</v>
      </c>
      <c r="D13" s="25">
        <f>POWER(((SQRT(3)*$E$13)/$B$3),2)</f>
        <v>9.4075520833333321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JGE5D50U/7ewy4cmP3VlFLfYYm4SE94guD6IkqASgqffqSyexfJyAx3sC6u2TWgd4P+OpWvcs8AMj/xqMx26ag==" saltValue="sL6E6oacWKoxJe+eeZANoQ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351" priority="8" operator="greaterThan">
      <formula>$B$12</formula>
    </cfRule>
  </conditionalFormatting>
  <conditionalFormatting sqref="C6">
    <cfRule type="cellIs" dxfId="350" priority="14" operator="greaterThan">
      <formula>$B$12</formula>
    </cfRule>
  </conditionalFormatting>
  <conditionalFormatting sqref="B6">
    <cfRule type="cellIs" dxfId="349" priority="15" operator="greaterThan">
      <formula>$B$12</formula>
    </cfRule>
  </conditionalFormatting>
  <conditionalFormatting sqref="B7">
    <cfRule type="cellIs" dxfId="348" priority="12" operator="greaterThan">
      <formula>$B$12</formula>
    </cfRule>
  </conditionalFormatting>
  <conditionalFormatting sqref="D10">
    <cfRule type="cellIs" dxfId="347" priority="1" operator="greaterThan">
      <formula>$B$12</formula>
    </cfRule>
  </conditionalFormatting>
  <conditionalFormatting sqref="D6">
    <cfRule type="cellIs" dxfId="346" priority="13" operator="greaterThan">
      <formula>$B$12</formula>
    </cfRule>
  </conditionalFormatting>
  <conditionalFormatting sqref="C7">
    <cfRule type="cellIs" dxfId="345" priority="11" operator="greaterThan">
      <formula>$B$12</formula>
    </cfRule>
  </conditionalFormatting>
  <conditionalFormatting sqref="D7">
    <cfRule type="cellIs" dxfId="344" priority="10" operator="greaterThan">
      <formula>$B$12</formula>
    </cfRule>
  </conditionalFormatting>
  <conditionalFormatting sqref="B8">
    <cfRule type="cellIs" dxfId="343" priority="9" operator="greaterThan">
      <formula>$B$12</formula>
    </cfRule>
  </conditionalFormatting>
  <conditionalFormatting sqref="B10">
    <cfRule type="cellIs" dxfId="342" priority="7" operator="greaterThan">
      <formula>$B$12</formula>
    </cfRule>
  </conditionalFormatting>
  <conditionalFormatting sqref="C8">
    <cfRule type="cellIs" dxfId="341" priority="6" operator="greaterThan">
      <formula>$B$12</formula>
    </cfRule>
  </conditionalFormatting>
  <conditionalFormatting sqref="D8">
    <cfRule type="cellIs" dxfId="340" priority="5" operator="greaterThan">
      <formula>$B$12</formula>
    </cfRule>
  </conditionalFormatting>
  <conditionalFormatting sqref="C9">
    <cfRule type="cellIs" dxfId="339" priority="4" operator="greaterThan">
      <formula>$B$12</formula>
    </cfRule>
  </conditionalFormatting>
  <conditionalFormatting sqref="D9">
    <cfRule type="cellIs" dxfId="338" priority="3" operator="greaterThan">
      <formula>$B$12</formula>
    </cfRule>
  </conditionalFormatting>
  <conditionalFormatting sqref="C10">
    <cfRule type="cellIs" dxfId="33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.66406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138" t="s">
        <v>66</v>
      </c>
      <c r="B3" s="432">
        <v>1.6</v>
      </c>
      <c r="C3" s="432"/>
      <c r="D3" s="433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2</v>
      </c>
      <c r="D5" s="15">
        <v>3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4</v>
      </c>
      <c r="B6" s="17">
        <f>(((SQRT($B$5)*$B$3)/SQRT(3))*60000)/($A$6*$B$16)</f>
        <v>554.25625842204079</v>
      </c>
      <c r="C6" s="17">
        <f>(((SQRT($C$5)*$B$3)/SQRT(3))*60000)/($A$6*$B$16)</f>
        <v>783.83671769061721</v>
      </c>
      <c r="D6" s="17">
        <f>(((SQRT($D$5)*$B$3)/SQRT(3))*60000)/($A$6*$B$16)</f>
        <v>960</v>
      </c>
      <c r="F6" s="106" t="str">
        <f>_1438b</f>
        <v>Lechler</v>
      </c>
      <c r="G6" s="106" t="str">
        <f>_1438c</f>
        <v>ES 90 04E POM</v>
      </c>
      <c r="H6" s="132">
        <f>_1438h</f>
        <v>1.5</v>
      </c>
      <c r="I6" s="42" t="str">
        <f>IF(H6="","","bis")</f>
        <v>bis</v>
      </c>
      <c r="J6" s="19">
        <f>_1438i</f>
        <v>3</v>
      </c>
      <c r="K6" s="20">
        <f>(((SQRT($H6)*$B$3)/SQRT(3))*60000)/($B$12*$B$16)</f>
        <v>6.7882250993908562</v>
      </c>
      <c r="L6" s="42" t="str">
        <f>IF(K6="","","bis")</f>
        <v>bis</v>
      </c>
      <c r="M6" s="18">
        <f>(((SQRT($J6)*$B$3)/SQRT(3))*60000)/($B$12*$B$16)</f>
        <v>9.6</v>
      </c>
      <c r="N6" s="19">
        <f>_1438j</f>
        <v>1.5</v>
      </c>
      <c r="O6" s="42" t="str">
        <f>IF(N6="","","bis")</f>
        <v>bis</v>
      </c>
      <c r="P6" s="19">
        <f>_1438k</f>
        <v>3</v>
      </c>
      <c r="Q6" s="20">
        <f>(((SQRT($N6)*$B$3)/SQRT(3))*60000)/($B$12*$B$16)</f>
        <v>6.7882250993908562</v>
      </c>
      <c r="R6" s="42" t="str">
        <f>IF(Q6="","","bis")</f>
        <v>bis</v>
      </c>
      <c r="S6" s="18">
        <f>(((SQRT($P6)*$B$3)/SQRT(3))*60000)/($B$12*$B$16)</f>
        <v>9.6</v>
      </c>
      <c r="T6" s="132">
        <f>_1438l</f>
        <v>1.5</v>
      </c>
      <c r="U6" s="42" t="str">
        <f>IF(T6="","","bis")</f>
        <v>bis</v>
      </c>
      <c r="V6" s="19">
        <f>_1438m</f>
        <v>3</v>
      </c>
      <c r="W6" s="20">
        <f>(((SQRT($T6)*$B$3)/SQRT(3))*60000)/($B$12*$B$16)</f>
        <v>6.7882250993908562</v>
      </c>
      <c r="X6" s="42" t="str">
        <f>IF(W6="","","bis")</f>
        <v>bis</v>
      </c>
      <c r="Y6" s="18">
        <f>(((SQRT($V6)*$B$3)/SQRT(3))*60000)/($B$12*$B$16)</f>
        <v>9.6</v>
      </c>
      <c r="Z6" s="133">
        <f>_1438f</f>
        <v>1.5</v>
      </c>
      <c r="AA6" s="42" t="str">
        <f>IF(Z6="","","bis")</f>
        <v>bis</v>
      </c>
      <c r="AB6" s="134">
        <f>_1438g</f>
        <v>3</v>
      </c>
    </row>
    <row r="7" spans="1:28" ht="18" thickBot="1" x14ac:dyDescent="0.35">
      <c r="A7" s="21">
        <v>5</v>
      </c>
      <c r="B7" s="17">
        <f>(((SQRT($B$5)*$B$3)/SQRT(3))*60000)/($A$7*$B$16)</f>
        <v>443.40500673763262</v>
      </c>
      <c r="C7" s="17">
        <f>(((SQRT($C$5)*$B$3)/SQRT(3))*60000)/($A$7*$B$16)</f>
        <v>627.06937415249376</v>
      </c>
      <c r="D7" s="17">
        <f>(((SQRT($D$5)*$B$3)/SQRT(3))*60000)/($A$7*$B$16)</f>
        <v>768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(((SQRT($H7)*$B$3)/SQRT(3))*60000)/($B$12*$B$16)</f>
        <v>0</v>
      </c>
      <c r="L7" s="42" t="str">
        <f>IF(K7="","","bis")</f>
        <v>bis</v>
      </c>
      <c r="M7" s="18">
        <f>(((SQRT($J7)*$B$3)/SQRT(3))*60000)/($B$12*$B$16)</f>
        <v>0</v>
      </c>
      <c r="N7" s="20"/>
      <c r="O7" s="42" t="str">
        <f>IF(N7="","","bis")</f>
        <v/>
      </c>
      <c r="P7" s="18"/>
      <c r="Q7" s="20">
        <f>(((SQRT($N7)*$B$3)/SQRT(3))*60000)/($B$12*$B$16)</f>
        <v>0</v>
      </c>
      <c r="R7" s="42" t="str">
        <f>IF(Q7="","","bis")</f>
        <v>bis</v>
      </c>
      <c r="S7" s="18">
        <f>(((SQRT($P7)*$B$3)/SQRT(3))*60000)/($B$12*$B$16)</f>
        <v>0</v>
      </c>
      <c r="T7" s="20"/>
      <c r="U7" s="42" t="str">
        <f>IF(T7="","","bis")</f>
        <v/>
      </c>
      <c r="V7" s="18"/>
      <c r="W7" s="20">
        <f>(((SQRT($T7)*$B$3)/SQRT(3))*60000)/($B$12*$B$16)</f>
        <v>0</v>
      </c>
      <c r="X7" s="42" t="str">
        <f>IF(W7="","","bis")</f>
        <v>bis</v>
      </c>
      <c r="Y7" s="18">
        <f>(((SQRT($V7)*$B$3)/SQRT(3))*60000)/($B$12*$B$16)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6</v>
      </c>
      <c r="B8" s="17">
        <f>(((SQRT($B$5)*$B$3)/SQRT(3))*60000)/($A$8*$B$16)</f>
        <v>369.50417228136052</v>
      </c>
      <c r="C8" s="17">
        <f>(((SQRT($C$5)*$B$3)/SQRT(3))*60000)/($A$8*$B$16)</f>
        <v>522.5578117937448</v>
      </c>
      <c r="D8" s="17">
        <f>(((SQRT($D$5)*$B$3)/SQRT(3))*60000)/($A$8*$B$16)</f>
        <v>640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(((SQRT($H8)*$B$3)/SQRT(3))*60000)/($B$12*$B$16)</f>
        <v>0</v>
      </c>
      <c r="L8" s="42" t="str">
        <f>IF(K8="","","bis")</f>
        <v>bis</v>
      </c>
      <c r="M8" s="18">
        <f>(((SQRT($J8)*$B$3)/SQRT(3))*60000)/($B$12*$B$16)</f>
        <v>0</v>
      </c>
      <c r="N8" s="20"/>
      <c r="O8" s="42" t="str">
        <f>IF(N8="","","bis")</f>
        <v/>
      </c>
      <c r="P8" s="18"/>
      <c r="Q8" s="20">
        <f>(((SQRT($N8)*$B$3)/SQRT(3))*60000)/($B$12*$B$16)</f>
        <v>0</v>
      </c>
      <c r="R8" s="42" t="str">
        <f>IF(Q8="","","bis")</f>
        <v>bis</v>
      </c>
      <c r="S8" s="18">
        <f>(((SQRT($P8)*$B$3)/SQRT(3))*60000)/($B$12*$B$16)</f>
        <v>0</v>
      </c>
      <c r="T8" s="20"/>
      <c r="U8" s="42" t="str">
        <f>IF(T8="","","bis")</f>
        <v/>
      </c>
      <c r="V8" s="18"/>
      <c r="W8" s="20">
        <f>(((SQRT($T8)*$B$3)/SQRT(3))*60000)/($B$12*$B$16)</f>
        <v>0</v>
      </c>
      <c r="X8" s="42" t="str">
        <f>IF(W8="","","bis")</f>
        <v>bis</v>
      </c>
      <c r="Y8" s="18">
        <f>(((SQRT($V8)*$B$3)/SQRT(3))*60000)/($B$12*$B$16)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7</v>
      </c>
      <c r="B9" s="17">
        <f>(((SQRT($B$5)*$B$3)/SQRT(3))*60000)/($A$9*$B$16)</f>
        <v>316.71786195545189</v>
      </c>
      <c r="C9" s="17">
        <f>(((SQRT($C$5)*$B$3)/SQRT(3))*60000)/($A$9*$B$16)</f>
        <v>447.90669582320982</v>
      </c>
      <c r="D9" s="17">
        <f>(((SQRT($D$5)*$B$3)/SQRT(3))*60000)/($A$9*$B$16)</f>
        <v>548.57142857142856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(((SQRT($H9)*$B$3)/SQRT(3))*60000)/($B$12*$B$16)</f>
        <v>0</v>
      </c>
      <c r="L9" s="42" t="str">
        <f>IF(K9="","","bis")</f>
        <v>bis</v>
      </c>
      <c r="M9" s="18">
        <f>(((SQRT($J9)*$B$3)/SQRT(3))*60000)/($B$12*$B$16)</f>
        <v>0</v>
      </c>
      <c r="N9" s="20"/>
      <c r="O9" s="42" t="str">
        <f>IF(N9="","","bis")</f>
        <v/>
      </c>
      <c r="P9" s="18"/>
      <c r="Q9" s="20">
        <f>(((SQRT($N9)*$B$3)/SQRT(3))*60000)/($B$12*$B$16)</f>
        <v>0</v>
      </c>
      <c r="R9" s="42" t="str">
        <f>IF(Q9="","","bis")</f>
        <v>bis</v>
      </c>
      <c r="S9" s="18">
        <f>(((SQRT($P9)*$B$3)/SQRT(3))*60000)/($B$12*$B$16)</f>
        <v>0</v>
      </c>
      <c r="T9" s="20"/>
      <c r="U9" s="42" t="str">
        <f>IF(T9="","","bis")</f>
        <v/>
      </c>
      <c r="V9" s="19"/>
      <c r="W9" s="20">
        <f>(((SQRT($T9)*$B$3)/SQRT(3))*60000)/($B$12*$B$16)</f>
        <v>0</v>
      </c>
      <c r="X9" s="42" t="str">
        <f>IF(W9="","","bis")</f>
        <v>bis</v>
      </c>
      <c r="Y9" s="18">
        <f>(((SQRT($V9)*$B$3)/SQRT(3))*60000)/($B$12*$B$16)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8</v>
      </c>
      <c r="B10" s="27">
        <f>(((SQRT($B$5)*$B$3)/SQRT(3))*60000)/($A$10*$B$16)</f>
        <v>277.12812921102039</v>
      </c>
      <c r="C10" s="27">
        <f>(((SQRT($C$5)*$B$3)/SQRT(3))*60000)/($A$10*$B$16)</f>
        <v>391.9183588453086</v>
      </c>
      <c r="D10" s="27">
        <f>(((SQRT($D$5)*$B$3)/SQRT(3))*60000)/($A$10*$B$16)</f>
        <v>480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(((SQRT($H10)*$B$3)/SQRT(3))*60000)/($B$12*$B$16)</f>
        <v>0</v>
      </c>
      <c r="L10" s="42" t="str">
        <f>IF(K10="","","bis")</f>
        <v>bis</v>
      </c>
      <c r="M10" s="18">
        <f>(((SQRT($J10)*$B$3)/SQRT(3))*60000)/($B$12*$B$16)</f>
        <v>0</v>
      </c>
      <c r="N10" s="20"/>
      <c r="O10" s="42" t="str">
        <f>IF(N10="","","bis")</f>
        <v/>
      </c>
      <c r="P10" s="18"/>
      <c r="Q10" s="20">
        <f>(((SQRT($N10)*$B$3)/SQRT(3))*60000)/($B$12*$B$16)</f>
        <v>0</v>
      </c>
      <c r="R10" s="42" t="str">
        <f>IF(Q10="","","bis")</f>
        <v>bis</v>
      </c>
      <c r="S10" s="18">
        <f>(((SQRT($P10)*$B$3)/SQRT(3))*60000)/($B$12*$B$16)</f>
        <v>0</v>
      </c>
      <c r="T10" s="20"/>
      <c r="U10" s="42" t="str">
        <f>IF(T10="","","bis")</f>
        <v/>
      </c>
      <c r="V10" s="18"/>
      <c r="W10" s="20">
        <f>(((SQRT($T10)*$B$3)/SQRT(3))*60000)/($B$12*$B$16)</f>
        <v>0</v>
      </c>
      <c r="X10" s="42" t="str">
        <f>IF(W10="","","bis")</f>
        <v>bis</v>
      </c>
      <c r="Y10" s="18">
        <f>(((SQRT($V10)*$B$3)/SQRT(3))*60000)/($B$12*$B$16)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400</v>
      </c>
      <c r="C12" s="24"/>
      <c r="D12" s="418"/>
      <c r="E12" s="418"/>
      <c r="F12" s="178"/>
      <c r="G12" s="115"/>
    </row>
    <row r="13" spans="1:28" ht="18" thickBot="1" x14ac:dyDescent="0.35">
      <c r="A13" s="23" t="s">
        <v>57</v>
      </c>
      <c r="B13" s="25">
        <f>POWER(((SQRT(3)*$C$13)/$B$3),2)</f>
        <v>1.5950520833333333</v>
      </c>
      <c r="C13" s="45">
        <f>(B12*B14*B16)/60000</f>
        <v>1.1666666666666667</v>
      </c>
      <c r="D13" s="422"/>
      <c r="E13" s="422"/>
      <c r="F13" s="178"/>
      <c r="G13" s="115"/>
    </row>
    <row r="14" spans="1:28" ht="18" thickBot="1" x14ac:dyDescent="0.35">
      <c r="A14" s="23" t="s">
        <v>58</v>
      </c>
      <c r="B14" s="9">
        <v>7</v>
      </c>
      <c r="D14" s="182"/>
      <c r="E14" s="115"/>
      <c r="F14" s="179"/>
      <c r="G14" s="115"/>
    </row>
    <row r="15" spans="1:28" ht="18" thickBot="1" x14ac:dyDescent="0.35">
      <c r="A15" s="23"/>
      <c r="B15" s="49"/>
      <c r="C15" s="26"/>
      <c r="D15" s="418"/>
      <c r="E15" s="418"/>
      <c r="F15" s="180"/>
      <c r="G15" s="184">
        <f>(B12*B18/100)*B19</f>
        <v>400</v>
      </c>
    </row>
    <row r="16" spans="1:28" ht="18" thickBot="1" x14ac:dyDescent="0.35">
      <c r="A16" s="174" t="s">
        <v>89</v>
      </c>
      <c r="B16" s="28">
        <v>25</v>
      </c>
      <c r="F16" s="115"/>
      <c r="G16" s="115"/>
    </row>
    <row r="17" spans="1:12" ht="18" thickBot="1" x14ac:dyDescent="0.35">
      <c r="A17" s="175" t="s">
        <v>90</v>
      </c>
      <c r="B17" s="28">
        <v>75</v>
      </c>
    </row>
    <row r="18" spans="1:12" ht="18" thickBot="1" x14ac:dyDescent="0.35">
      <c r="A18" s="46" t="s">
        <v>91</v>
      </c>
      <c r="B18" s="47">
        <f>(B16*100)/B17</f>
        <v>33.333333333333336</v>
      </c>
    </row>
    <row r="19" spans="1:12" ht="18" thickBot="1" x14ac:dyDescent="0.35">
      <c r="A19" s="174" t="s">
        <v>92</v>
      </c>
      <c r="B19" s="48">
        <v>3</v>
      </c>
    </row>
    <row r="20" spans="1:12" ht="18" thickBot="1" x14ac:dyDescent="0.35">
      <c r="A20" s="11" t="s">
        <v>236</v>
      </c>
      <c r="B20" s="177">
        <v>3</v>
      </c>
      <c r="J20" s="406">
        <f>B20*((B16/B17)*B19)</f>
        <v>3</v>
      </c>
      <c r="K20" s="407"/>
      <c r="L20" s="408"/>
    </row>
  </sheetData>
  <sheetProtection algorithmName="SHA-512" hashValue="ZvN97Dp1ygjOkn+0s0B3hEiBBmAbescZPsfyCRUxhaSzkJZLDpe2tXJx0tTOeat+zTl3hROl6L4wD4MO/OX+EA==" saltValue="jDBwDCxOGVFTJ8NOngehtQ==" spinCount="100000" sheet="1" objects="1" scenarios="1"/>
  <mergeCells count="15">
    <mergeCell ref="J20:L20"/>
    <mergeCell ref="D12:E12"/>
    <mergeCell ref="D13:E13"/>
    <mergeCell ref="D15:E15"/>
    <mergeCell ref="B3:D3"/>
    <mergeCell ref="H4:M4"/>
    <mergeCell ref="Z4:AB5"/>
    <mergeCell ref="H5:J5"/>
    <mergeCell ref="K5:M5"/>
    <mergeCell ref="N5:P5"/>
    <mergeCell ref="Q5:S5"/>
    <mergeCell ref="T5:V5"/>
    <mergeCell ref="W5:Y5"/>
    <mergeCell ref="N4:S4"/>
    <mergeCell ref="T4:Y4"/>
  </mergeCells>
  <conditionalFormatting sqref="B6">
    <cfRule type="cellIs" dxfId="336" priority="15" operator="greaterThan">
      <formula>$B$12</formula>
    </cfRule>
  </conditionalFormatting>
  <conditionalFormatting sqref="C6">
    <cfRule type="cellIs" dxfId="335" priority="14" operator="greaterThan">
      <formula>$B$12</formula>
    </cfRule>
  </conditionalFormatting>
  <conditionalFormatting sqref="D6">
    <cfRule type="cellIs" dxfId="334" priority="13" operator="greaterThan">
      <formula>$B$12</formula>
    </cfRule>
  </conditionalFormatting>
  <conditionalFormatting sqref="B7">
    <cfRule type="cellIs" dxfId="333" priority="12" operator="greaterThan">
      <formula>$B$12</formula>
    </cfRule>
  </conditionalFormatting>
  <conditionalFormatting sqref="C7">
    <cfRule type="cellIs" dxfId="332" priority="11" operator="greaterThan">
      <formula>$B$12</formula>
    </cfRule>
  </conditionalFormatting>
  <conditionalFormatting sqref="D7">
    <cfRule type="cellIs" dxfId="331" priority="10" operator="greaterThan">
      <formula>$B$12</formula>
    </cfRule>
  </conditionalFormatting>
  <conditionalFormatting sqref="B8">
    <cfRule type="cellIs" dxfId="330" priority="9" operator="greaterThan">
      <formula>$B$12</formula>
    </cfRule>
  </conditionalFormatting>
  <conditionalFormatting sqref="C8">
    <cfRule type="cellIs" dxfId="329" priority="8" operator="greaterThan">
      <formula>$B$12</formula>
    </cfRule>
  </conditionalFormatting>
  <conditionalFormatting sqref="D8">
    <cfRule type="cellIs" dxfId="328" priority="7" operator="greaterThan">
      <formula>$B$12</formula>
    </cfRule>
  </conditionalFormatting>
  <conditionalFormatting sqref="B9">
    <cfRule type="cellIs" dxfId="327" priority="6" operator="greaterThan">
      <formula>$B$12</formula>
    </cfRule>
  </conditionalFormatting>
  <conditionalFormatting sqref="B10">
    <cfRule type="cellIs" dxfId="326" priority="5" operator="greaterThan">
      <formula>$B$12</formula>
    </cfRule>
  </conditionalFormatting>
  <conditionalFormatting sqref="C9">
    <cfRule type="cellIs" dxfId="325" priority="4" operator="greaterThan">
      <formula>$B$12</formula>
    </cfRule>
  </conditionalFormatting>
  <conditionalFormatting sqref="D9">
    <cfRule type="cellIs" dxfId="324" priority="3" operator="greaterThan">
      <formula>$B$12</formula>
    </cfRule>
  </conditionalFormatting>
  <conditionalFormatting sqref="C10">
    <cfRule type="cellIs" dxfId="323" priority="2" operator="greaterThan">
      <formula>$B$12</formula>
    </cfRule>
  </conditionalFormatting>
  <conditionalFormatting sqref="D10">
    <cfRule type="cellIs" dxfId="322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0.66406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5" t="s">
        <v>66</v>
      </c>
      <c r="B3" s="432">
        <v>1.6</v>
      </c>
      <c r="C3" s="432"/>
      <c r="D3" s="433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261.2789058968724</v>
      </c>
      <c r="C6" s="17">
        <f>(((SQRT(C5)*$B$3)/SQRT(3))*$C$15)/$A6</f>
        <v>413.11822359545789</v>
      </c>
      <c r="D6" s="17">
        <f>(((SQRT(D5)*$B$3)/SQRT(3))*$C$15)/$A6</f>
        <v>522.5578117937448</v>
      </c>
      <c r="F6" s="106" t="str">
        <f>_2282b</f>
        <v>TeeJet</v>
      </c>
      <c r="G6" s="106" t="str">
        <f>_2282c</f>
        <v>APTJ-11004VP</v>
      </c>
      <c r="H6" s="132">
        <f>_2282h</f>
        <v>2</v>
      </c>
      <c r="I6" s="42" t="str">
        <f>IF(H6="","","bis")</f>
        <v>bis</v>
      </c>
      <c r="J6" s="19">
        <f>_2282i</f>
        <v>5</v>
      </c>
      <c r="K6" s="20">
        <f>(((SQRT($H6)*$B$3)/SQRT(3))*60000)/($B$12*$B$15)</f>
        <v>7.8383671769061722</v>
      </c>
      <c r="L6" s="42" t="str">
        <f>IF(K6="","","bis")</f>
        <v>bis</v>
      </c>
      <c r="M6" s="18">
        <f>(((SQRT($J6)*$B$3)/SQRT(3))*60000)/($B$12*$B$15)</f>
        <v>12.393546707863736</v>
      </c>
      <c r="N6" s="19">
        <f>_2282j</f>
        <v>2</v>
      </c>
      <c r="O6" s="42" t="str">
        <f>IF(N6="","","bis")</f>
        <v>bis</v>
      </c>
      <c r="P6" s="18">
        <f>_2282k</f>
        <v>4</v>
      </c>
      <c r="Q6" s="20">
        <f>(((SQRT($N6)*$B$3)/SQRT(3))*60000)/($B$12*$B$15)</f>
        <v>7.8383671769061722</v>
      </c>
      <c r="R6" s="42" t="str">
        <f>IF(Q6="","","bis")</f>
        <v>bis</v>
      </c>
      <c r="S6" s="18">
        <f>(((SQRT($P6)*$B$3)/SQRT(3))*60000)/($B$12*$B$15)</f>
        <v>11.085125168440815</v>
      </c>
      <c r="T6" s="20">
        <f>_2282l</f>
        <v>2</v>
      </c>
      <c r="U6" s="42" t="str">
        <f>IF(T6="","","bis")</f>
        <v>bis</v>
      </c>
      <c r="V6" s="19">
        <f>_2282m</f>
        <v>3</v>
      </c>
      <c r="W6" s="20">
        <f>(((SQRT($T6)*$B$3)/SQRT(3))*60000)/($B$12*$B$15)</f>
        <v>7.8383671769061722</v>
      </c>
      <c r="X6" s="42" t="str">
        <f>IF(W6="","","bis")</f>
        <v>bis</v>
      </c>
      <c r="Y6" s="19">
        <f>(((SQRT($V6)*$B$3)/SQRT(3))*60000)/($B$12*$B$15)</f>
        <v>9.6</v>
      </c>
      <c r="Z6" s="133">
        <f>_2282f</f>
        <v>2</v>
      </c>
      <c r="AA6" s="42" t="str">
        <f>IF(Z6="","","bis")</f>
        <v>bis</v>
      </c>
      <c r="AB6" s="134">
        <f>_2282g</f>
        <v>7</v>
      </c>
    </row>
    <row r="7" spans="1:28" ht="18" thickBot="1" x14ac:dyDescent="0.35">
      <c r="A7" s="21">
        <v>7</v>
      </c>
      <c r="B7" s="17">
        <f>(((SQRT(B5)*$B$3)/SQRT(3))*$C$15)/$A7</f>
        <v>223.95334791160491</v>
      </c>
      <c r="C7" s="17">
        <f>(((SQRT(C5)*$B$3)/SQRT(3))*$C$15)/$A7</f>
        <v>354.10133451039246</v>
      </c>
      <c r="D7" s="17">
        <f>(((SQRT(D5)*$B$3)/SQRT(3))*$C$15)/$A7</f>
        <v>447.90669582320982</v>
      </c>
      <c r="F7" s="106" t="str">
        <f>_2103b</f>
        <v>Agrotop</v>
      </c>
      <c r="G7" s="106" t="str">
        <f>_2103c</f>
        <v>SoftDrop 110 04</v>
      </c>
      <c r="H7" s="132">
        <f>_2103h</f>
        <v>2</v>
      </c>
      <c r="I7" s="42" t="str">
        <f>IF(H7="","","bis")</f>
        <v>bis</v>
      </c>
      <c r="J7" s="18">
        <f>_2103i</f>
        <v>6</v>
      </c>
      <c r="K7" s="20">
        <f>(((SQRT($H7)*$B$3)/SQRT(3))*60000)/($B$12*$B$15)</f>
        <v>7.8383671769061722</v>
      </c>
      <c r="L7" s="42" t="str">
        <f>IF(K7="","","bis")</f>
        <v>bis</v>
      </c>
      <c r="M7" s="18">
        <f>(((SQRT($J7)*$B$3)/SQRT(3))*60000)/($B$12*$B$15)</f>
        <v>13.576450198781712</v>
      </c>
      <c r="N7" s="20">
        <f>_2103j</f>
        <v>2</v>
      </c>
      <c r="O7" s="42" t="str">
        <f>IF(N7="","","bis")</f>
        <v>bis</v>
      </c>
      <c r="P7" s="18">
        <f>_2103k</f>
        <v>3</v>
      </c>
      <c r="Q7" s="20">
        <f>(((SQRT($N7)*$B$3)/SQRT(3))*60000)/($B$12*$B$15)</f>
        <v>7.8383671769061722</v>
      </c>
      <c r="R7" s="42" t="str">
        <f>IF(Q7="","","bis")</f>
        <v>bis</v>
      </c>
      <c r="S7" s="18">
        <f>(((SQRT($P7)*$B$3)/SQRT(3))*60000)/($B$12*$B$15)</f>
        <v>9.6</v>
      </c>
      <c r="T7" s="20">
        <f>_2103l</f>
        <v>2</v>
      </c>
      <c r="U7" s="42" t="str">
        <f>IF(T7="","","bis")</f>
        <v>bis</v>
      </c>
      <c r="V7" s="18">
        <f>_2103m</f>
        <v>2</v>
      </c>
      <c r="W7" s="20">
        <f>(((SQRT($T7)*$B$3)/SQRT(3))*60000)/($B$12*$B$15)</f>
        <v>7.8383671769061722</v>
      </c>
      <c r="X7" s="42" t="str">
        <f>IF(W7="","","bis")</f>
        <v>bis</v>
      </c>
      <c r="Y7" s="18">
        <f>(((SQRT($V7)*$B$3)/SQRT(3))*60000)/($B$12*$B$15)</f>
        <v>7.8383671769061722</v>
      </c>
      <c r="Z7" s="133">
        <f>_2103f</f>
        <v>2</v>
      </c>
      <c r="AA7" s="42" t="str">
        <f>IF(Z7="","","bis")</f>
        <v>bis</v>
      </c>
      <c r="AB7" s="134">
        <f>_2103g</f>
        <v>6</v>
      </c>
    </row>
    <row r="8" spans="1:28" ht="18" thickBot="1" x14ac:dyDescent="0.35">
      <c r="A8" s="21">
        <v>8</v>
      </c>
      <c r="B8" s="17">
        <f>(((SQRT(B5)*$B$3)/SQRT(3))*$C$15)/$A8</f>
        <v>195.9591794226543</v>
      </c>
      <c r="C8" s="17">
        <f>(((SQRT(C5)*$B$3)/SQRT(3))*1200)/$A8</f>
        <v>309.8386676965934</v>
      </c>
      <c r="D8" s="17">
        <f>(((SQRT(D5)*$B$3)/SQRT(3))*1200)/$A8</f>
        <v>391.9183588453086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174.18593726458161</v>
      </c>
      <c r="C9" s="17">
        <f>(((SQRT(C5)*$B$3)/SQRT(3))*$C$15)/$A9</f>
        <v>275.41214906363859</v>
      </c>
      <c r="D9" s="17">
        <f>(((SQRT(D5)*$B$3)/SQRT(3))*$C$15)/$A9</f>
        <v>348.37187452916322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156.76734353812344</v>
      </c>
      <c r="C10" s="27">
        <f>(((SQRT(C5)*$B$3)/SQRT(3))*$C$15)/$A10</f>
        <v>247.87093415727472</v>
      </c>
      <c r="D10" s="27">
        <f>(((SQRT(D5)*$B$3)/SQRT(3))*$C$15)/$A10</f>
        <v>313.53468707624688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0.81380208333333304</v>
      </c>
      <c r="C13" s="26">
        <f>(B12*B14*B15)/60000</f>
        <v>0.83333333333333337</v>
      </c>
      <c r="D13" s="25">
        <f>POWER(((SQRT(3)*$E$13)/$B$3),2)</f>
        <v>9.4075520833333321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3G2fvJNT2f051Fs8Y2Owre9qjZ6PDknnoR0YFtUlcAV7byTJ58dbFJ1P0qPqhjIXSAmeWzwijaFvXPhXyzkoMg==" saltValue="ZhQyrdcUW89/KiiXD3rvow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321" priority="8" operator="greaterThan">
      <formula>$B$12</formula>
    </cfRule>
  </conditionalFormatting>
  <conditionalFormatting sqref="C6">
    <cfRule type="cellIs" dxfId="320" priority="14" operator="greaterThan">
      <formula>$B$12</formula>
    </cfRule>
  </conditionalFormatting>
  <conditionalFormatting sqref="B6">
    <cfRule type="cellIs" dxfId="319" priority="15" operator="greaterThan">
      <formula>$B$12</formula>
    </cfRule>
  </conditionalFormatting>
  <conditionalFormatting sqref="B7">
    <cfRule type="cellIs" dxfId="318" priority="12" operator="greaterThan">
      <formula>$B$12</formula>
    </cfRule>
  </conditionalFormatting>
  <conditionalFormatting sqref="D10">
    <cfRule type="cellIs" dxfId="317" priority="1" operator="greaterThan">
      <formula>$B$12</formula>
    </cfRule>
  </conditionalFormatting>
  <conditionalFormatting sqref="D6">
    <cfRule type="cellIs" dxfId="316" priority="13" operator="greaterThan">
      <formula>$B$12</formula>
    </cfRule>
  </conditionalFormatting>
  <conditionalFormatting sqref="C7">
    <cfRule type="cellIs" dxfId="315" priority="11" operator="greaterThan">
      <formula>$B$12</formula>
    </cfRule>
  </conditionalFormatting>
  <conditionalFormatting sqref="D7">
    <cfRule type="cellIs" dxfId="314" priority="10" operator="greaterThan">
      <formula>$B$12</formula>
    </cfRule>
  </conditionalFormatting>
  <conditionalFormatting sqref="B8">
    <cfRule type="cellIs" dxfId="313" priority="9" operator="greaterThan">
      <formula>$B$12</formula>
    </cfRule>
  </conditionalFormatting>
  <conditionalFormatting sqref="B10">
    <cfRule type="cellIs" dxfId="312" priority="7" operator="greaterThan">
      <formula>$B$12</formula>
    </cfRule>
  </conditionalFormatting>
  <conditionalFormatting sqref="C8">
    <cfRule type="cellIs" dxfId="311" priority="6" operator="greaterThan">
      <formula>$B$12</formula>
    </cfRule>
  </conditionalFormatting>
  <conditionalFormatting sqref="D8">
    <cfRule type="cellIs" dxfId="310" priority="5" operator="greaterThan">
      <formula>$B$12</formula>
    </cfRule>
  </conditionalFormatting>
  <conditionalFormatting sqref="C9">
    <cfRule type="cellIs" dxfId="309" priority="4" operator="greaterThan">
      <formula>$B$12</formula>
    </cfRule>
  </conditionalFormatting>
  <conditionalFormatting sqref="D9">
    <cfRule type="cellIs" dxfId="308" priority="3" operator="greaterThan">
      <formula>$B$12</formula>
    </cfRule>
  </conditionalFormatting>
  <conditionalFormatting sqref="C10">
    <cfRule type="cellIs" dxfId="30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0.66406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5" t="s">
        <v>66</v>
      </c>
      <c r="B3" s="432">
        <v>1.6</v>
      </c>
      <c r="C3" s="432"/>
      <c r="D3" s="433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261.2789058968724</v>
      </c>
      <c r="C6" s="17">
        <f>(((SQRT(C5)*$B$3)/SQRT(3))*$C$15)/$A6</f>
        <v>413.11822359545789</v>
      </c>
      <c r="D6" s="17">
        <f>(((SQRT(D5)*$B$3)/SQRT(3))*$C$15)/$A6</f>
        <v>522.5578117937448</v>
      </c>
      <c r="F6" s="106" t="str">
        <f>Abdrift!B17</f>
        <v>TeeJet</v>
      </c>
      <c r="G6" s="106" t="str">
        <f>Abdrift!C17</f>
        <v>APTJ-11004VP</v>
      </c>
      <c r="H6" s="132">
        <f>Abdrift!H17</f>
        <v>2</v>
      </c>
      <c r="I6" s="42" t="str">
        <f>IF(H6="","","bis")</f>
        <v>bis</v>
      </c>
      <c r="J6" s="19">
        <f>Abdrift!I17</f>
        <v>5</v>
      </c>
      <c r="K6" s="20">
        <f>(((SQRT($H6)*$B$3)/SQRT(3))*60000)/($B$12*$B$15)</f>
        <v>7.8383671769061722</v>
      </c>
      <c r="L6" s="42" t="str">
        <f>IF(K6="","","bis")</f>
        <v>bis</v>
      </c>
      <c r="M6" s="18">
        <f>(((SQRT($J6)*$B$3)/SQRT(3))*60000)/($B$12*$B$15)</f>
        <v>12.393546707863736</v>
      </c>
      <c r="N6" s="19">
        <f>Abdrift!J17</f>
        <v>2</v>
      </c>
      <c r="O6" s="42" t="str">
        <f>IF(N6="","","bis")</f>
        <v>bis</v>
      </c>
      <c r="P6" s="18">
        <f>Abdrift!K17</f>
        <v>4</v>
      </c>
      <c r="Q6" s="20">
        <f>(((SQRT($N6)*$B$3)/SQRT(3))*60000)/($B$12*$B$15)</f>
        <v>7.8383671769061722</v>
      </c>
      <c r="R6" s="42" t="str">
        <f>IF(Q6="","","bis")</f>
        <v>bis</v>
      </c>
      <c r="S6" s="18">
        <f>(((SQRT($P6)*$B$3)/SQRT(3))*60000)/($B$12*$B$15)</f>
        <v>11.085125168440815</v>
      </c>
      <c r="T6" s="20">
        <f>Abdrift!L17</f>
        <v>2</v>
      </c>
      <c r="U6" s="42" t="str">
        <f>IF(T6="","","bis")</f>
        <v>bis</v>
      </c>
      <c r="V6" s="19">
        <f>Abdrift!M17</f>
        <v>3</v>
      </c>
      <c r="W6" s="20">
        <f>(((SQRT($T6)*$B$3)/SQRT(3))*60000)/($B$12*$B$15)</f>
        <v>7.8383671769061722</v>
      </c>
      <c r="X6" s="42" t="str">
        <f>IF(W6="","","bis")</f>
        <v>bis</v>
      </c>
      <c r="Y6" s="19">
        <f>(((SQRT($V6)*$B$3)/SQRT(3))*60000)/($B$12*$B$15)</f>
        <v>9.6</v>
      </c>
      <c r="Z6" s="133">
        <f>Abdrift!F17</f>
        <v>2</v>
      </c>
      <c r="AA6" s="42" t="str">
        <f>IF(Z6="","","bis")</f>
        <v>bis</v>
      </c>
      <c r="AB6" s="134">
        <f>Abdrift!G17</f>
        <v>7</v>
      </c>
    </row>
    <row r="7" spans="1:28" ht="18" thickBot="1" x14ac:dyDescent="0.35">
      <c r="A7" s="21">
        <v>7</v>
      </c>
      <c r="B7" s="17">
        <f>(((SQRT(B5)*$B$3)/SQRT(3))*$C$15)/$A7</f>
        <v>223.95334791160491</v>
      </c>
      <c r="C7" s="17">
        <f>(((SQRT(C5)*$B$3)/SQRT(3))*$C$15)/$A7</f>
        <v>354.10133451039246</v>
      </c>
      <c r="D7" s="17">
        <f>(((SQRT(D5)*$B$3)/SQRT(3))*$C$15)/$A7</f>
        <v>447.90669582320982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195.9591794226543</v>
      </c>
      <c r="C8" s="17">
        <f>(((SQRT(C5)*$B$3)/SQRT(3))*1200)/$A8</f>
        <v>309.8386676965934</v>
      </c>
      <c r="D8" s="17">
        <f>(((SQRT(D5)*$B$3)/SQRT(3))*1200)/$A8</f>
        <v>391.9183588453086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174.18593726458161</v>
      </c>
      <c r="C9" s="17">
        <f>(((SQRT(C5)*$B$3)/SQRT(3))*$C$15)/$A9</f>
        <v>275.41214906363859</v>
      </c>
      <c r="D9" s="17">
        <f>(((SQRT(D5)*$B$3)/SQRT(3))*$C$15)/$A9</f>
        <v>348.37187452916322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156.76734353812344</v>
      </c>
      <c r="C10" s="27">
        <f>(((SQRT(C5)*$B$3)/SQRT(3))*$C$15)/$A10</f>
        <v>247.87093415727472</v>
      </c>
      <c r="D10" s="27">
        <f>(((SQRT(D5)*$B$3)/SQRT(3))*$C$15)/$A10</f>
        <v>313.53468707624688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0.81380208333333304</v>
      </c>
      <c r="C13" s="26">
        <f>(B12*B14*B15)/60000</f>
        <v>0.83333333333333337</v>
      </c>
      <c r="D13" s="25">
        <f>POWER(((SQRT(3)*$E$13)/$B$3),2)</f>
        <v>9.4075520833333321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pI3Oz6d1RDAUs9CA7UmvmWqSSUj5S0KjIZE4XwWJSvicxWzh1EEeqfoDPV2iJpKhPSAV+z8zH5XGy3oNbPdZbA==" saltValue="0duTeJvtH3Vxa9QHjR78VQ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306" priority="8" operator="greaterThan">
      <formula>$B$12</formula>
    </cfRule>
  </conditionalFormatting>
  <conditionalFormatting sqref="C6">
    <cfRule type="cellIs" dxfId="305" priority="14" operator="greaterThan">
      <formula>$B$12</formula>
    </cfRule>
  </conditionalFormatting>
  <conditionalFormatting sqref="B6">
    <cfRule type="cellIs" dxfId="304" priority="15" operator="greaterThan">
      <formula>$B$12</formula>
    </cfRule>
  </conditionalFormatting>
  <conditionalFormatting sqref="B7">
    <cfRule type="cellIs" dxfId="303" priority="12" operator="greaterThan">
      <formula>$B$12</formula>
    </cfRule>
  </conditionalFormatting>
  <conditionalFormatting sqref="D10">
    <cfRule type="cellIs" dxfId="302" priority="1" operator="greaterThan">
      <formula>$B$12</formula>
    </cfRule>
  </conditionalFormatting>
  <conditionalFormatting sqref="D6">
    <cfRule type="cellIs" dxfId="301" priority="13" operator="greaterThan">
      <formula>$B$12</formula>
    </cfRule>
  </conditionalFormatting>
  <conditionalFormatting sqref="C7">
    <cfRule type="cellIs" dxfId="300" priority="11" operator="greaterThan">
      <formula>$B$12</formula>
    </cfRule>
  </conditionalFormatting>
  <conditionalFormatting sqref="D7">
    <cfRule type="cellIs" dxfId="299" priority="10" operator="greaterThan">
      <formula>$B$12</formula>
    </cfRule>
  </conditionalFormatting>
  <conditionalFormatting sqref="B8">
    <cfRule type="cellIs" dxfId="298" priority="9" operator="greaterThan">
      <formula>$B$12</formula>
    </cfRule>
  </conditionalFormatting>
  <conditionalFormatting sqref="B10">
    <cfRule type="cellIs" dxfId="297" priority="7" operator="greaterThan">
      <formula>$B$12</formula>
    </cfRule>
  </conditionalFormatting>
  <conditionalFormatting sqref="C8">
    <cfRule type="cellIs" dxfId="296" priority="6" operator="greaterThan">
      <formula>$B$12</formula>
    </cfRule>
  </conditionalFormatting>
  <conditionalFormatting sqref="D8">
    <cfRule type="cellIs" dxfId="295" priority="5" operator="greaterThan">
      <formula>$B$12</formula>
    </cfRule>
  </conditionalFormatting>
  <conditionalFormatting sqref="C9">
    <cfRule type="cellIs" dxfId="294" priority="4" operator="greaterThan">
      <formula>$B$12</formula>
    </cfRule>
  </conditionalFormatting>
  <conditionalFormatting sqref="D9">
    <cfRule type="cellIs" dxfId="293" priority="3" operator="greaterThan">
      <formula>$B$12</formula>
    </cfRule>
  </conditionalFormatting>
  <conditionalFormatting sqref="C10">
    <cfRule type="cellIs" dxfId="29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30" style="11" bestFit="1" customWidth="1"/>
    <col min="8" max="8" width="21.5546875" style="11" bestFit="1" customWidth="1"/>
    <col min="9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9" x14ac:dyDescent="0.3">
      <c r="A1" s="10"/>
    </row>
    <row r="2" spans="1:29" ht="18" thickBot="1" x14ac:dyDescent="0.35"/>
    <row r="3" spans="1:29" ht="18" thickBot="1" x14ac:dyDescent="0.35">
      <c r="A3" s="35" t="s">
        <v>66</v>
      </c>
      <c r="B3" s="432">
        <v>1.6</v>
      </c>
      <c r="C3" s="432"/>
      <c r="D3" s="433"/>
    </row>
    <row r="4" spans="1:29" ht="18" thickBot="1" x14ac:dyDescent="0.35">
      <c r="G4" s="108" t="str">
        <f>"04"</f>
        <v>04</v>
      </c>
      <c r="H4" s="108" t="str">
        <f>"04"</f>
        <v>04</v>
      </c>
      <c r="I4" s="381">
        <v>50</v>
      </c>
      <c r="J4" s="382"/>
      <c r="K4" s="382"/>
      <c r="L4" s="382"/>
      <c r="M4" s="382"/>
      <c r="N4" s="399"/>
      <c r="O4" s="383">
        <v>75</v>
      </c>
      <c r="P4" s="383"/>
      <c r="Q4" s="383"/>
      <c r="R4" s="383"/>
      <c r="S4" s="383"/>
      <c r="T4" s="400"/>
      <c r="U4" s="384">
        <v>90</v>
      </c>
      <c r="V4" s="385"/>
      <c r="W4" s="385"/>
      <c r="X4" s="385"/>
      <c r="Y4" s="385"/>
      <c r="Z4" s="401"/>
      <c r="AA4" s="391" t="s">
        <v>53</v>
      </c>
      <c r="AB4" s="392"/>
      <c r="AC4" s="393"/>
    </row>
    <row r="5" spans="1:29" ht="18" thickBot="1" x14ac:dyDescent="0.35">
      <c r="A5" s="13" t="s">
        <v>52</v>
      </c>
      <c r="B5" s="14">
        <v>1</v>
      </c>
      <c r="C5" s="15">
        <v>4</v>
      </c>
      <c r="D5" s="15">
        <v>8</v>
      </c>
      <c r="E5" s="104"/>
      <c r="F5" s="13" t="s">
        <v>9</v>
      </c>
      <c r="G5" s="13" t="s">
        <v>200</v>
      </c>
      <c r="H5" s="13" t="s">
        <v>198</v>
      </c>
      <c r="I5" s="402" t="s">
        <v>14</v>
      </c>
      <c r="J5" s="403"/>
      <c r="K5" s="404"/>
      <c r="L5" s="381" t="s">
        <v>55</v>
      </c>
      <c r="M5" s="382"/>
      <c r="N5" s="399"/>
      <c r="O5" s="405" t="s">
        <v>14</v>
      </c>
      <c r="P5" s="383"/>
      <c r="Q5" s="400"/>
      <c r="R5" s="405" t="s">
        <v>55</v>
      </c>
      <c r="S5" s="383"/>
      <c r="T5" s="400"/>
      <c r="U5" s="384" t="s">
        <v>14</v>
      </c>
      <c r="V5" s="385"/>
      <c r="W5" s="401"/>
      <c r="X5" s="388" t="s">
        <v>55</v>
      </c>
      <c r="Y5" s="389"/>
      <c r="Z5" s="390"/>
      <c r="AA5" s="394"/>
      <c r="AB5" s="395"/>
      <c r="AC5" s="396"/>
    </row>
    <row r="6" spans="1:29" ht="18" thickBot="1" x14ac:dyDescent="0.35">
      <c r="A6" s="16">
        <v>6</v>
      </c>
      <c r="B6" s="17">
        <f>(((SQRT(B5)*$B$3)/SQRT(3))*$C$15)/$A6</f>
        <v>184.75208614068026</v>
      </c>
      <c r="C6" s="17">
        <f>(((SQRT(C5)*$B$3)/SQRT(3))*$C$15)/$A6</f>
        <v>369.50417228136052</v>
      </c>
      <c r="D6" s="17">
        <f>(((SQRT(D5)*$B$3)/SQRT(3))*$C$15)/$A6</f>
        <v>522.5578117937448</v>
      </c>
      <c r="E6" s="105"/>
      <c r="F6" s="106" t="str">
        <f>_1788b</f>
        <v>Lechler</v>
      </c>
      <c r="G6" s="106" t="str">
        <f>_1788t</f>
        <v>IDKN 120 04</v>
      </c>
      <c r="H6" s="106" t="str">
        <f>_1788c</f>
        <v>IDKS 80 04</v>
      </c>
      <c r="I6" s="132">
        <f>_1788h</f>
        <v>1</v>
      </c>
      <c r="J6" s="42" t="str">
        <f>IF(I6="","","bis")</f>
        <v>bis</v>
      </c>
      <c r="K6" s="18">
        <f>_1788i</f>
        <v>3</v>
      </c>
      <c r="L6" s="20">
        <f>(((SQRT($I6)*$B$3)/SQRT(3))*60000)/($B$12*$B$15)</f>
        <v>5.5425625842204074</v>
      </c>
      <c r="M6" s="42" t="str">
        <f>IF(L6="","","bis")</f>
        <v>bis</v>
      </c>
      <c r="N6" s="18">
        <f>(((SQRT($K6)*$B$3)/SQRT(3))*60000)/($B$12*$B$15)</f>
        <v>9.6</v>
      </c>
      <c r="O6" s="19">
        <f>_1788j</f>
        <v>1</v>
      </c>
      <c r="P6" s="42" t="str">
        <f>IF(O6="","","bis")</f>
        <v>bis</v>
      </c>
      <c r="Q6" s="18">
        <f>_1788k</f>
        <v>1.5</v>
      </c>
      <c r="R6" s="20">
        <f>(((SQRT($O6)*$B$3)/SQRT(3))*60000)/($B$12*$B$15)</f>
        <v>5.5425625842204074</v>
      </c>
      <c r="S6" s="42" t="str">
        <f>IF(R6="","","bis")</f>
        <v>bis</v>
      </c>
      <c r="T6" s="18">
        <f>(((SQRT($Q6)*$B$3)/SQRT(3))*60000)/($B$12*$B$15)</f>
        <v>6.7882250993908562</v>
      </c>
      <c r="U6" s="20">
        <f>_1788l</f>
        <v>1</v>
      </c>
      <c r="V6" s="42" t="str">
        <f>IF(U6="","","bis")</f>
        <v>bis</v>
      </c>
      <c r="W6" s="19">
        <f>_1788m</f>
        <v>1</v>
      </c>
      <c r="X6" s="20">
        <f>(((SQRT($U6)*$B$3)/SQRT(3))*60000)/($B$12*$B$15)</f>
        <v>5.5425625842204074</v>
      </c>
      <c r="Y6" s="42" t="str">
        <f>IF(X6="","","bis")</f>
        <v>bis</v>
      </c>
      <c r="Z6" s="19">
        <f>(((SQRT($W6)*$B$3)/SQRT(3))*60000)/($B$12*$B$15)</f>
        <v>5.5425625842204074</v>
      </c>
      <c r="AA6" s="133">
        <f>_1788f</f>
        <v>1</v>
      </c>
      <c r="AB6" s="42" t="str">
        <f>IF(AA6="","","bis")</f>
        <v>bis</v>
      </c>
      <c r="AC6" s="134">
        <f>_1788g</f>
        <v>6</v>
      </c>
    </row>
    <row r="7" spans="1:29" ht="18" thickBot="1" x14ac:dyDescent="0.35">
      <c r="A7" s="21">
        <v>7</v>
      </c>
      <c r="B7" s="17">
        <f>(((SQRT(B5)*$B$3)/SQRT(3))*$C$15)/$A7</f>
        <v>158.35893097772595</v>
      </c>
      <c r="C7" s="17">
        <f>(((SQRT(C5)*$B$3)/SQRT(3))*$C$15)/$A7</f>
        <v>316.71786195545189</v>
      </c>
      <c r="D7" s="17">
        <f>(((SQRT(D5)*$B$3)/SQRT(3))*$C$15)/$A7</f>
        <v>447.90669582320982</v>
      </c>
      <c r="E7" s="105"/>
      <c r="F7" s="106" t="str">
        <f>_b1788b</f>
        <v>Lechler</v>
      </c>
      <c r="G7" s="106" t="str">
        <f>_b1788t</f>
        <v>IDKT 120 04</v>
      </c>
      <c r="H7" s="106" t="str">
        <f>_b1788c</f>
        <v>IDKS 80 04</v>
      </c>
      <c r="I7" s="132">
        <f>_b1788h</f>
        <v>1</v>
      </c>
      <c r="J7" s="42" t="str">
        <f>IF(I7="","","bis")</f>
        <v>bis</v>
      </c>
      <c r="K7" s="18">
        <f>_b1788i</f>
        <v>2</v>
      </c>
      <c r="L7" s="20">
        <f>(((SQRT($I7)*$B$3)/SQRT(3))*60000)/($B$12*$B$15)</f>
        <v>5.5425625842204074</v>
      </c>
      <c r="M7" s="42" t="str">
        <f>IF(L7="","","bis")</f>
        <v>bis</v>
      </c>
      <c r="N7" s="18">
        <f>(((SQRT($K7)*$B$3)/SQRT(3))*60000)/($B$12*$B$15)</f>
        <v>7.8383671769061722</v>
      </c>
      <c r="O7" s="20">
        <f>_b1788j</f>
        <v>1</v>
      </c>
      <c r="P7" s="42" t="str">
        <f>IF(O7="","","bis")</f>
        <v>bis</v>
      </c>
      <c r="Q7" s="18">
        <f>_b1788k</f>
        <v>1.5</v>
      </c>
      <c r="R7" s="20">
        <f>(((SQRT($O7)*$B$3)/SQRT(3))*60000)/($B$12*$B$15)</f>
        <v>5.5425625842204074</v>
      </c>
      <c r="S7" s="42" t="str">
        <f>IF(R7="","","bis")</f>
        <v>bis</v>
      </c>
      <c r="T7" s="18">
        <f>(((SQRT($Q7)*$B$3)/SQRT(3))*60000)/($B$12*$B$15)</f>
        <v>6.7882250993908562</v>
      </c>
      <c r="U7" s="20">
        <f>_b1788l</f>
        <v>1</v>
      </c>
      <c r="V7" s="42" t="str">
        <f>IF(U7="","","bis")</f>
        <v>bis</v>
      </c>
      <c r="W7" s="18">
        <f>_b1788m</f>
        <v>1</v>
      </c>
      <c r="X7" s="20">
        <f>(((SQRT($U7)*$B$3)/SQRT(3))*60000)/($B$12*$B$15)</f>
        <v>5.5425625842204074</v>
      </c>
      <c r="Y7" s="42" t="str">
        <f>IF(X7="","","bis")</f>
        <v>bis</v>
      </c>
      <c r="Z7" s="18">
        <f>(((SQRT($W7)*$B$3)/SQRT(3))*60000)/($B$12*$B$15)</f>
        <v>5.5425625842204074</v>
      </c>
      <c r="AA7" s="133">
        <f>_b1788f</f>
        <v>1</v>
      </c>
      <c r="AB7" s="42" t="str">
        <f>IF(AA7="","","bis")</f>
        <v>bis</v>
      </c>
      <c r="AC7" s="134">
        <f>_b1788g</f>
        <v>6</v>
      </c>
    </row>
    <row r="8" spans="1:29" ht="18" thickBot="1" x14ac:dyDescent="0.35">
      <c r="A8" s="21">
        <v>8</v>
      </c>
      <c r="B8" s="17">
        <f>(((SQRT(B5)*$B$3)/SQRT(3))*$C$15)/$A8</f>
        <v>138.5640646055102</v>
      </c>
      <c r="C8" s="17">
        <f>(((SQRT(C5)*$B$3)/SQRT(3))*1200)/$A8</f>
        <v>277.12812921102039</v>
      </c>
      <c r="D8" s="17">
        <f>(((SQRT(D5)*$B$3)/SQRT(3))*1200)/$A8</f>
        <v>391.9183588453086</v>
      </c>
      <c r="E8" s="105"/>
      <c r="F8" s="106" t="str">
        <f>_1755b</f>
        <v>Lechler</v>
      </c>
      <c r="G8" s="106" t="str">
        <f>_1755t</f>
        <v>ID (3) 120 04</v>
      </c>
      <c r="H8" s="106" t="str">
        <f>_1755c</f>
        <v>IS 80 04</v>
      </c>
      <c r="I8" s="132">
        <f>_1755h</f>
        <v>2</v>
      </c>
      <c r="J8" s="42" t="str">
        <f>IF(I8="","","bis")</f>
        <v>bis</v>
      </c>
      <c r="K8" s="18">
        <f>_1755i</f>
        <v>8</v>
      </c>
      <c r="L8" s="20">
        <f>(((SQRT($I8)*$B$3)/SQRT(3))*60000)/($B$12*$B$15)</f>
        <v>7.8383671769061722</v>
      </c>
      <c r="M8" s="42" t="str">
        <f>IF(L8="","","bis")</f>
        <v>bis</v>
      </c>
      <c r="N8" s="18">
        <f>(((SQRT($K8)*$B$3)/SQRT(3))*60000)/($B$12*$B$15)</f>
        <v>15.676734353812344</v>
      </c>
      <c r="O8" s="20">
        <f>_1755j</f>
        <v>2</v>
      </c>
      <c r="P8" s="42" t="str">
        <f>IF(O8="","","bis")</f>
        <v>bis</v>
      </c>
      <c r="Q8" s="18">
        <f>_1755k</f>
        <v>6</v>
      </c>
      <c r="R8" s="20">
        <f>(((SQRT($O8)*$B$3)/SQRT(3))*60000)/($B$12*$B$15)</f>
        <v>7.8383671769061722</v>
      </c>
      <c r="S8" s="42" t="str">
        <f>IF(R8="","","bis")</f>
        <v>bis</v>
      </c>
      <c r="T8" s="18">
        <f>(((SQRT($Q8)*$B$3)/SQRT(3))*60000)/($B$12*$B$15)</f>
        <v>13.576450198781712</v>
      </c>
      <c r="U8" s="20">
        <f>_1755l</f>
        <v>2</v>
      </c>
      <c r="V8" s="42" t="str">
        <f>IF(U8="","","bis")</f>
        <v>bis</v>
      </c>
      <c r="W8" s="18">
        <f>_1755m</f>
        <v>3</v>
      </c>
      <c r="X8" s="20">
        <f>(((SQRT($U8)*$B$3)/SQRT(3))*60000)/($B$12*$B$15)</f>
        <v>7.8383671769061722</v>
      </c>
      <c r="Y8" s="42" t="str">
        <f>IF(X8="","","bis")</f>
        <v>bis</v>
      </c>
      <c r="Z8" s="18">
        <f>(((SQRT($W8)*$B$3)/SQRT(3))*60000)/($B$12*$B$15)</f>
        <v>9.6</v>
      </c>
      <c r="AA8" s="133">
        <f>_1755f</f>
        <v>1</v>
      </c>
      <c r="AB8" s="42" t="str">
        <f>IF(AA8="","","bis")</f>
        <v>bis</v>
      </c>
      <c r="AC8" s="134">
        <f>_1755g</f>
        <v>8</v>
      </c>
    </row>
    <row r="9" spans="1:29" ht="18" thickBot="1" x14ac:dyDescent="0.35">
      <c r="A9" s="21">
        <v>9</v>
      </c>
      <c r="B9" s="17">
        <f>(((SQRT(B5)*$B$3)/SQRT(3))*$C$15)/$A9</f>
        <v>123.16805742712017</v>
      </c>
      <c r="C9" s="17">
        <f>(((SQRT(C5)*$B$3)/SQRT(3))*$C$15)/$A9</f>
        <v>246.33611485424035</v>
      </c>
      <c r="D9" s="17">
        <f>(((SQRT(D5)*$B$3)/SQRT(3))*$C$15)/$A9</f>
        <v>348.37187452916322</v>
      </c>
      <c r="E9" s="105"/>
      <c r="F9" s="106" t="str">
        <f>_b1755b</f>
        <v>Lechler</v>
      </c>
      <c r="G9" s="106" t="str">
        <f>_b1755t</f>
        <v>IDTA 120 04 C</v>
      </c>
      <c r="H9" s="106" t="str">
        <f>_b1755c</f>
        <v>IS 80 04</v>
      </c>
      <c r="I9" s="132">
        <f>_b1755h</f>
        <v>0</v>
      </c>
      <c r="J9" s="42" t="str">
        <f>IF(I9="","","bis")</f>
        <v>bis</v>
      </c>
      <c r="K9" s="18">
        <f>_b1755i</f>
        <v>0</v>
      </c>
      <c r="L9" s="20">
        <f>(((SQRT($I9)*$B$3)/SQRT(3))*60000)/($B$12*$B$15)</f>
        <v>0</v>
      </c>
      <c r="M9" s="42" t="str">
        <f>IF(L9="","","bis")</f>
        <v>bis</v>
      </c>
      <c r="N9" s="18">
        <f>(((SQRT($K9)*$B$3)/SQRT(3))*60000)/($B$12*$B$15)</f>
        <v>0</v>
      </c>
      <c r="O9" s="20">
        <f>_b1755j</f>
        <v>1</v>
      </c>
      <c r="P9" s="42" t="str">
        <f>IF(O9="","","bis")</f>
        <v>bis</v>
      </c>
      <c r="Q9" s="18">
        <f>_b1755k</f>
        <v>2</v>
      </c>
      <c r="R9" s="20">
        <f>(((SQRT($O9)*$B$3)/SQRT(3))*60000)/($B$12*$B$15)</f>
        <v>5.5425625842204074</v>
      </c>
      <c r="S9" s="42" t="str">
        <f>IF(R9="","","bis")</f>
        <v>bis</v>
      </c>
      <c r="T9" s="18">
        <f>(((SQRT($Q9)*$B$3)/SQRT(3))*60000)/($B$12*$B$15)</f>
        <v>7.8383671769061722</v>
      </c>
      <c r="U9" s="20">
        <f>_b1755l</f>
        <v>1</v>
      </c>
      <c r="V9" s="42" t="str">
        <f>IF(U9="","","bis")</f>
        <v>bis</v>
      </c>
      <c r="W9" s="19">
        <f>_b1755m</f>
        <v>1.5</v>
      </c>
      <c r="X9" s="20">
        <f>(((SQRT($U9)*$B$3)/SQRT(3))*60000)/($B$12*$B$15)</f>
        <v>5.5425625842204074</v>
      </c>
      <c r="Y9" s="42" t="str">
        <f>IF(X9="","","bis")</f>
        <v>bis</v>
      </c>
      <c r="Z9" s="18">
        <f>(((SQRT($W9)*$B$3)/SQRT(3))*60000)/($B$12*$B$15)</f>
        <v>6.7882250993908562</v>
      </c>
      <c r="AA9" s="133">
        <f>_b1755f</f>
        <v>1</v>
      </c>
      <c r="AB9" s="42" t="str">
        <f>IF(AA9="","","bis")</f>
        <v>bis</v>
      </c>
      <c r="AC9" s="134">
        <f>_b1755g</f>
        <v>8</v>
      </c>
    </row>
    <row r="10" spans="1:29" ht="18" thickBot="1" x14ac:dyDescent="0.35">
      <c r="A10" s="22">
        <v>10</v>
      </c>
      <c r="B10" s="27">
        <f>(((SQRT(B5)*$B$3)/SQRT(3))*$C$15)/$A10</f>
        <v>110.85125168440815</v>
      </c>
      <c r="C10" s="27">
        <f>(((SQRT(C5)*$B$3)/SQRT(3))*$C$15)/$A10</f>
        <v>221.70250336881631</v>
      </c>
      <c r="D10" s="27">
        <f>(((SQRT(D5)*$B$3)/SQRT(3))*$C$15)/$A10</f>
        <v>313.53468707624688</v>
      </c>
      <c r="E10" s="105"/>
      <c r="F10" s="106"/>
      <c r="G10" s="106"/>
      <c r="H10" s="106"/>
      <c r="I10" s="132"/>
      <c r="J10" s="42" t="str">
        <f>IF(I10="","","bis")</f>
        <v/>
      </c>
      <c r="K10" s="18"/>
      <c r="L10" s="20">
        <f>(((SQRT($I10)*$B$3)/SQRT(3))*60000)/($B$12*$B$15)</f>
        <v>0</v>
      </c>
      <c r="M10" s="42" t="str">
        <f>IF(L10="","","bis")</f>
        <v>bis</v>
      </c>
      <c r="N10" s="18">
        <f>(((SQRT($K10)*$B$3)/SQRT(3))*60000)/($B$12*$B$15)</f>
        <v>0</v>
      </c>
      <c r="O10" s="20"/>
      <c r="P10" s="42" t="str">
        <f>IF(O10="","","bis")</f>
        <v/>
      </c>
      <c r="Q10" s="18"/>
      <c r="R10" s="20">
        <f>(((SQRT($O10)*$B$3)/SQRT(3))*60000)/($B$12*$B$15)</f>
        <v>0</v>
      </c>
      <c r="S10" s="42" t="str">
        <f>IF(R10="","","bis")</f>
        <v>bis</v>
      </c>
      <c r="T10" s="18">
        <f>(((SQRT($Q10)*$B$3)/SQRT(3))*60000)/($B$12*$B$15)</f>
        <v>0</v>
      </c>
      <c r="U10" s="20"/>
      <c r="V10" s="42" t="str">
        <f>IF(U10="","","bis")</f>
        <v/>
      </c>
      <c r="W10" s="18"/>
      <c r="X10" s="20">
        <f>(((SQRT($U10)*$B$3)/SQRT(3))*60000)/($B$12*$B$15)</f>
        <v>0</v>
      </c>
      <c r="Y10" s="42" t="str">
        <f>IF(X10="","","bis")</f>
        <v>bis</v>
      </c>
      <c r="Z10" s="18">
        <f>(((SQRT($W10)*$B$3)/SQRT(3))*60000)/($B$12*$B$15)</f>
        <v>0</v>
      </c>
      <c r="AA10" s="133"/>
      <c r="AB10" s="42" t="str">
        <f>IF(AA10="","","bis")</f>
        <v/>
      </c>
      <c r="AC10" s="134"/>
    </row>
    <row r="11" spans="1:29" ht="18" thickBot="1" x14ac:dyDescent="0.35">
      <c r="J11" s="2"/>
    </row>
    <row r="12" spans="1:29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9" ht="18" thickBot="1" x14ac:dyDescent="0.35">
      <c r="A13" s="23" t="s">
        <v>57</v>
      </c>
      <c r="B13" s="25">
        <f>POWER(((SQRT(3)*$C$13)/$B$3),2)</f>
        <v>0.81380208333333304</v>
      </c>
      <c r="C13" s="26">
        <f>(B12*B14*B15)/60000</f>
        <v>0.83333333333333337</v>
      </c>
      <c r="D13" s="25">
        <f>POWER(((SQRT(3)*$E$13)/$B$3),2)</f>
        <v>9.4075520833333321</v>
      </c>
      <c r="E13" s="26">
        <f>(D12*D14*D15)/60000</f>
        <v>2.8333333333333335</v>
      </c>
    </row>
    <row r="14" spans="1:29" ht="18" thickBot="1" x14ac:dyDescent="0.35">
      <c r="A14" s="23" t="s">
        <v>58</v>
      </c>
      <c r="B14" s="9">
        <v>5</v>
      </c>
      <c r="D14" s="168">
        <f>Tabelle1!A4</f>
        <v>17</v>
      </c>
    </row>
    <row r="15" spans="1:29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  <row r="17" spans="6:29" ht="18" thickBot="1" x14ac:dyDescent="0.35"/>
    <row r="18" spans="6:29" ht="18" thickBot="1" x14ac:dyDescent="0.35">
      <c r="G18" s="108" t="str">
        <f>"04"</f>
        <v>04</v>
      </c>
      <c r="H18" s="107" t="str">
        <f>"03"</f>
        <v>03</v>
      </c>
      <c r="I18" s="381">
        <v>50</v>
      </c>
      <c r="J18" s="382"/>
      <c r="K18" s="382"/>
      <c r="L18" s="382"/>
      <c r="M18" s="382"/>
      <c r="N18" s="399"/>
      <c r="O18" s="383">
        <v>75</v>
      </c>
      <c r="P18" s="383"/>
      <c r="Q18" s="383"/>
      <c r="R18" s="383"/>
      <c r="S18" s="383"/>
      <c r="T18" s="400"/>
      <c r="U18" s="384">
        <v>90</v>
      </c>
      <c r="V18" s="385"/>
      <c r="W18" s="385"/>
      <c r="X18" s="385"/>
      <c r="Y18" s="385"/>
      <c r="Z18" s="401"/>
      <c r="AA18" s="391" t="s">
        <v>53</v>
      </c>
      <c r="AB18" s="392"/>
      <c r="AC18" s="393"/>
    </row>
    <row r="19" spans="6:29" ht="18" thickBot="1" x14ac:dyDescent="0.35">
      <c r="F19" s="13" t="s">
        <v>9</v>
      </c>
      <c r="G19" s="13" t="s">
        <v>200</v>
      </c>
      <c r="H19" s="13" t="s">
        <v>198</v>
      </c>
      <c r="I19" s="402" t="s">
        <v>14</v>
      </c>
      <c r="J19" s="403"/>
      <c r="K19" s="404"/>
      <c r="L19" s="381" t="s">
        <v>55</v>
      </c>
      <c r="M19" s="382"/>
      <c r="N19" s="399"/>
      <c r="O19" s="405" t="s">
        <v>14</v>
      </c>
      <c r="P19" s="383"/>
      <c r="Q19" s="400"/>
      <c r="R19" s="405" t="s">
        <v>55</v>
      </c>
      <c r="S19" s="383"/>
      <c r="T19" s="400"/>
      <c r="U19" s="384" t="s">
        <v>14</v>
      </c>
      <c r="V19" s="385"/>
      <c r="W19" s="401"/>
      <c r="X19" s="388" t="s">
        <v>55</v>
      </c>
      <c r="Y19" s="389"/>
      <c r="Z19" s="390"/>
      <c r="AA19" s="394"/>
      <c r="AB19" s="395"/>
      <c r="AC19" s="396"/>
    </row>
    <row r="20" spans="6:29" ht="18" thickBot="1" x14ac:dyDescent="0.35">
      <c r="F20" s="106" t="str">
        <f>_1892b</f>
        <v>Agrotop</v>
      </c>
      <c r="G20" s="106" t="str">
        <f>_1892t</f>
        <v>TurboDrop HiSpeed 04</v>
      </c>
      <c r="H20" s="106" t="str">
        <f>_1892c</f>
        <v>Airmix OC 80 03</v>
      </c>
      <c r="I20" s="132">
        <f>_1892h</f>
        <v>2</v>
      </c>
      <c r="J20" s="42" t="str">
        <f>IF(I20="","","bis")</f>
        <v>bis</v>
      </c>
      <c r="K20" s="19">
        <f>_1892i</f>
        <v>6</v>
      </c>
      <c r="L20" s="20">
        <f>(((SQRT($I20)*$B$3)/SQRT(3))*60000)/($B$12*$B$15)</f>
        <v>7.8383671769061722</v>
      </c>
      <c r="M20" s="42" t="str">
        <f>IF(L20="","","bis")</f>
        <v>bis</v>
      </c>
      <c r="N20" s="18">
        <f>(((SQRT($K20)*$B$3)/SQRT(3))*60000)/($B$12*$B$15)</f>
        <v>13.576450198781712</v>
      </c>
      <c r="O20" s="19">
        <f>_1892j</f>
        <v>2</v>
      </c>
      <c r="P20" s="42" t="str">
        <f>IF(O20="","","bis")</f>
        <v>bis</v>
      </c>
      <c r="Q20" s="18">
        <f>_1892k</f>
        <v>3</v>
      </c>
      <c r="R20" s="20">
        <f>(((SQRT($O20)*$B$3)/SQRT(3))*60000)/($B$12*$B$15)</f>
        <v>7.8383671769061722</v>
      </c>
      <c r="S20" s="42" t="str">
        <f>IF(R20="","","bis")</f>
        <v>bis</v>
      </c>
      <c r="T20" s="18">
        <f>(((SQRT($Q20)*$B$3)/SQRT(3))*60000)/($B$12*$B$15)</f>
        <v>9.6</v>
      </c>
      <c r="U20" s="20">
        <f>_1892l</f>
        <v>2</v>
      </c>
      <c r="V20" s="42" t="str">
        <f>IF(U20="","","bis")</f>
        <v>bis</v>
      </c>
      <c r="W20" s="19">
        <f>_1892m</f>
        <v>2</v>
      </c>
      <c r="X20" s="20">
        <f>(((SQRT($U20)*$B$3)/SQRT(3))*60000)/($B$12*$B$15)</f>
        <v>7.8383671769061722</v>
      </c>
      <c r="Y20" s="42" t="str">
        <f>IF(X20="","","bis")</f>
        <v>bis</v>
      </c>
      <c r="Z20" s="19">
        <f>(((SQRT($W20)*$B$3)/SQRT(3))*60000)/($B$12*$B$15)</f>
        <v>7.8383671769061722</v>
      </c>
      <c r="AA20" s="133">
        <f>_1892f</f>
        <v>2</v>
      </c>
      <c r="AB20" s="42" t="str">
        <f>IF(AA20="","","bis")</f>
        <v>bis</v>
      </c>
      <c r="AC20" s="134">
        <f>_1892g</f>
        <v>8</v>
      </c>
    </row>
    <row r="21" spans="6:29" ht="18" thickBot="1" x14ac:dyDescent="0.35">
      <c r="F21" s="106" t="str">
        <f>_b1892b</f>
        <v>Agrotop</v>
      </c>
      <c r="G21" s="106" t="str">
        <f>_b1892t</f>
        <v>CVI Twin 110 04</v>
      </c>
      <c r="H21" s="106" t="str">
        <f>_b1892c</f>
        <v>Airmix OC 80 03</v>
      </c>
      <c r="I21" s="132">
        <f>_b1892h</f>
        <v>1.5</v>
      </c>
      <c r="J21" s="42" t="str">
        <f>IF(I21="","","bis")</f>
        <v>bis</v>
      </c>
      <c r="K21" s="19">
        <f>_b1892i</f>
        <v>6</v>
      </c>
      <c r="L21" s="20">
        <f>(((SQRT($I21)*$B$3)/SQRT(3))*60000)/($B$12*$B$15)</f>
        <v>6.7882250993908562</v>
      </c>
      <c r="M21" s="42" t="str">
        <f>IF(L21="","","bis")</f>
        <v>bis</v>
      </c>
      <c r="N21" s="18">
        <f>(((SQRT($K21)*$B$3)/SQRT(3))*60000)/($B$12*$B$15)</f>
        <v>13.576450198781712</v>
      </c>
      <c r="O21" s="19">
        <f>_b1892j</f>
        <v>1.5</v>
      </c>
      <c r="P21" s="42" t="str">
        <f>IF(O21="","","bis")</f>
        <v>bis</v>
      </c>
      <c r="Q21" s="18">
        <f>_b1892k</f>
        <v>6</v>
      </c>
      <c r="R21" s="20">
        <f>(((SQRT($O21)*$B$3)/SQRT(3))*60000)/($B$12*$B$15)</f>
        <v>6.7882250993908562</v>
      </c>
      <c r="S21" s="42" t="str">
        <f>IF(R21="","","bis")</f>
        <v>bis</v>
      </c>
      <c r="T21" s="18">
        <f>(((SQRT($Q21)*$B$3)/SQRT(3))*60000)/($B$12*$B$15)</f>
        <v>13.576450198781712</v>
      </c>
      <c r="U21" s="20">
        <f>_b1892l</f>
        <v>1.5</v>
      </c>
      <c r="V21" s="42" t="str">
        <f>IF(U21="","","bis")</f>
        <v>bis</v>
      </c>
      <c r="W21" s="19">
        <f>_b1892m</f>
        <v>1.5</v>
      </c>
      <c r="X21" s="20">
        <f>(((SQRT($U21)*$B$3)/SQRT(3))*60000)/($B$12*$B$15)</f>
        <v>6.7882250993908562</v>
      </c>
      <c r="Y21" s="42" t="str">
        <f>IF(X21="","","bis")</f>
        <v>bis</v>
      </c>
      <c r="Z21" s="18">
        <f>(((SQRT($W21)*$B$3)/SQRT(3))*60000)/($B$12*$B$15)</f>
        <v>6.7882250993908562</v>
      </c>
      <c r="AA21" s="133">
        <f>_b1892f</f>
        <v>1.5</v>
      </c>
      <c r="AB21" s="42" t="str">
        <f>IF(AA21="","","bis")</f>
        <v>bis</v>
      </c>
      <c r="AC21" s="134">
        <f>_b1892g</f>
        <v>6</v>
      </c>
    </row>
    <row r="22" spans="6:29" ht="18" thickBot="1" x14ac:dyDescent="0.35">
      <c r="F22" s="106" t="str">
        <f>_c1892b</f>
        <v>Agrotop</v>
      </c>
      <c r="G22" s="106" t="str">
        <f>_c1892t</f>
        <v>SoftDrop 110 04</v>
      </c>
      <c r="H22" s="106" t="str">
        <f>_c1892c</f>
        <v>Airmix OC 80 03</v>
      </c>
      <c r="I22" s="132">
        <f>_c1892h</f>
        <v>2</v>
      </c>
      <c r="J22" s="42" t="str">
        <f>IF(I22="","","bis")</f>
        <v>bis</v>
      </c>
      <c r="K22" s="19">
        <f>_c1892i</f>
        <v>6</v>
      </c>
      <c r="L22" s="20">
        <f>(((SQRT($I22)*$B$3)/SQRT(3))*60000)/($B$12*$B$15)</f>
        <v>7.8383671769061722</v>
      </c>
      <c r="M22" s="42" t="str">
        <f>IF(L22="","","bis")</f>
        <v>bis</v>
      </c>
      <c r="N22" s="18">
        <f>(((SQRT($K22)*$B$3)/SQRT(3))*60000)/($B$12*$B$15)</f>
        <v>13.576450198781712</v>
      </c>
      <c r="O22" s="19">
        <f>_c1892j</f>
        <v>2</v>
      </c>
      <c r="P22" s="42" t="str">
        <f>IF(O22="","","bis")</f>
        <v>bis</v>
      </c>
      <c r="Q22" s="18">
        <f>_c1892k</f>
        <v>3</v>
      </c>
      <c r="R22" s="20">
        <f>(((SQRT($O22)*$B$3)/SQRT(3))*60000)/($B$12*$B$15)</f>
        <v>7.8383671769061722</v>
      </c>
      <c r="S22" s="42" t="str">
        <f>IF(R22="","","bis")</f>
        <v>bis</v>
      </c>
      <c r="T22" s="18">
        <f>(((SQRT($Q22)*$B$3)/SQRT(3))*60000)/($B$12*$B$15)</f>
        <v>9.6</v>
      </c>
      <c r="U22" s="20">
        <f>_c1892l</f>
        <v>2</v>
      </c>
      <c r="V22" s="42" t="str">
        <f>IF(U22="","","bis")</f>
        <v>bis</v>
      </c>
      <c r="W22" s="19">
        <f>_c1892m</f>
        <v>2</v>
      </c>
      <c r="X22" s="20">
        <f>(((SQRT($U22)*$B$3)/SQRT(3))*60000)/($B$12*$B$15)</f>
        <v>7.8383671769061722</v>
      </c>
      <c r="Y22" s="42" t="str">
        <f>IF(X22="","","bis")</f>
        <v>bis</v>
      </c>
      <c r="Z22" s="18">
        <f>(((SQRT($W22)*$B$3)/SQRT(3))*60000)/($B$12*$B$15)</f>
        <v>7.8383671769061722</v>
      </c>
      <c r="AA22" s="133">
        <f>_c1892f</f>
        <v>2</v>
      </c>
      <c r="AB22" s="42" t="str">
        <f>IF(AA22="","","bis")</f>
        <v>bis</v>
      </c>
      <c r="AC22" s="134">
        <f>_c1892g</f>
        <v>6</v>
      </c>
    </row>
    <row r="23" spans="6:29" ht="18" thickBot="1" x14ac:dyDescent="0.35">
      <c r="F23" s="106"/>
      <c r="G23" s="106"/>
      <c r="H23" s="106"/>
      <c r="I23" s="132"/>
      <c r="J23" s="42" t="str">
        <f>IF(I23="","","bis")</f>
        <v/>
      </c>
      <c r="K23" s="18"/>
      <c r="L23" s="20">
        <f>(((SQRT($I23)*$B$3)/SQRT(3))*60000)/($B$12*$B$15)</f>
        <v>0</v>
      </c>
      <c r="M23" s="42" t="str">
        <f>IF(L23="","","bis")</f>
        <v>bis</v>
      </c>
      <c r="N23" s="18">
        <f>(((SQRT($K23)*$B$3)/SQRT(3))*60000)/($B$12*$B$15)</f>
        <v>0</v>
      </c>
      <c r="O23" s="20"/>
      <c r="P23" s="42" t="str">
        <f>IF(O23="","","bis")</f>
        <v/>
      </c>
      <c r="Q23" s="18"/>
      <c r="R23" s="20">
        <f>(((SQRT($O23)*$B$3)/SQRT(3))*60000)/($B$12*$B$15)</f>
        <v>0</v>
      </c>
      <c r="S23" s="42" t="str">
        <f>IF(R23="","","bis")</f>
        <v>bis</v>
      </c>
      <c r="T23" s="18">
        <f>(((SQRT($Q23)*$B$3)/SQRT(3))*60000)/($B$12*$B$15)</f>
        <v>0</v>
      </c>
      <c r="U23" s="20"/>
      <c r="V23" s="42" t="str">
        <f>IF(U23="","","bis")</f>
        <v/>
      </c>
      <c r="W23" s="19"/>
      <c r="X23" s="20">
        <f>(((SQRT($U23)*$B$3)/SQRT(3))*60000)/($B$12*$B$15)</f>
        <v>0</v>
      </c>
      <c r="Y23" s="42" t="str">
        <f>IF(X23="","","bis")</f>
        <v>bis</v>
      </c>
      <c r="Z23" s="18">
        <f>(((SQRT($W23)*$B$3)/SQRT(3))*60000)/($B$12*$B$15)</f>
        <v>0</v>
      </c>
      <c r="AA23" s="133"/>
      <c r="AB23" s="42" t="str">
        <f>IF(AA23="","","bis")</f>
        <v/>
      </c>
      <c r="AC23" s="134"/>
    </row>
    <row r="24" spans="6:29" ht="18" thickBot="1" x14ac:dyDescent="0.35">
      <c r="F24" s="106"/>
      <c r="G24" s="106"/>
      <c r="H24" s="106"/>
      <c r="I24" s="132"/>
      <c r="J24" s="42" t="str">
        <f>IF(I24="","","bis")</f>
        <v/>
      </c>
      <c r="K24" s="18"/>
      <c r="L24" s="20">
        <f>(((SQRT($I24)*$B$3)/SQRT(3))*60000)/($B$12*$B$15)</f>
        <v>0</v>
      </c>
      <c r="M24" s="42" t="str">
        <f>IF(L24="","","bis")</f>
        <v>bis</v>
      </c>
      <c r="N24" s="18">
        <f>(((SQRT($K24)*$B$3)/SQRT(3))*60000)/($B$12*$B$15)</f>
        <v>0</v>
      </c>
      <c r="O24" s="20"/>
      <c r="P24" s="42" t="str">
        <f>IF(O24="","","bis")</f>
        <v/>
      </c>
      <c r="Q24" s="18"/>
      <c r="R24" s="20">
        <f>(((SQRT($O24)*$B$3)/SQRT(3))*60000)/($B$12*$B$15)</f>
        <v>0</v>
      </c>
      <c r="S24" s="42" t="str">
        <f>IF(R24="","","bis")</f>
        <v>bis</v>
      </c>
      <c r="T24" s="18">
        <f>(((SQRT($Q24)*$B$3)/SQRT(3))*60000)/($B$12*$B$15)</f>
        <v>0</v>
      </c>
      <c r="U24" s="20"/>
      <c r="V24" s="42" t="str">
        <f>IF(U24="","","bis")</f>
        <v/>
      </c>
      <c r="W24" s="18"/>
      <c r="X24" s="20">
        <f>(((SQRT($U24)*$B$3)/SQRT(3))*60000)/($B$12*$B$15)</f>
        <v>0</v>
      </c>
      <c r="Y24" s="42" t="str">
        <f>IF(X24="","","bis")</f>
        <v>bis</v>
      </c>
      <c r="Z24" s="18">
        <f>(((SQRT($W24)*$B$3)/SQRT(3))*60000)/($B$12*$B$15)</f>
        <v>0</v>
      </c>
      <c r="AA24" s="133"/>
      <c r="AB24" s="42" t="str">
        <f>IF(AA24="","","bis")</f>
        <v/>
      </c>
      <c r="AC24" s="134"/>
    </row>
  </sheetData>
  <sheetProtection algorithmName="SHA-512" hashValue="4+uLsXEgeG4I+nk4X7AoXysmd5y0uoFypjsBMYVD9dq+uEfZfQDQVd5TdrMZSJt4BwmEQXNrdzl02FWfQb9XLA==" saltValue="3BRCyZECZpW1RbvIHwXVwA==" spinCount="100000" sheet="1" objects="1" scenarios="1"/>
  <mergeCells count="21">
    <mergeCell ref="B3:D3"/>
    <mergeCell ref="I4:N4"/>
    <mergeCell ref="O4:T4"/>
    <mergeCell ref="U4:Z4"/>
    <mergeCell ref="AA4:AC5"/>
    <mergeCell ref="I5:K5"/>
    <mergeCell ref="L5:N5"/>
    <mergeCell ref="O5:Q5"/>
    <mergeCell ref="R5:T5"/>
    <mergeCell ref="U5:W5"/>
    <mergeCell ref="X5:Z5"/>
    <mergeCell ref="AA18:AC19"/>
    <mergeCell ref="I19:K19"/>
    <mergeCell ref="L19:N19"/>
    <mergeCell ref="O19:Q19"/>
    <mergeCell ref="R19:T19"/>
    <mergeCell ref="U19:W19"/>
    <mergeCell ref="X19:Z19"/>
    <mergeCell ref="I18:N18"/>
    <mergeCell ref="O18:T18"/>
    <mergeCell ref="U18:Z18"/>
  </mergeCells>
  <conditionalFormatting sqref="B9 E6:E10">
    <cfRule type="cellIs" dxfId="291" priority="8" operator="greaterThan">
      <formula>$B$12</formula>
    </cfRule>
  </conditionalFormatting>
  <conditionalFormatting sqref="C6">
    <cfRule type="cellIs" dxfId="290" priority="14" operator="greaterThan">
      <formula>$B$12</formula>
    </cfRule>
  </conditionalFormatting>
  <conditionalFormatting sqref="B6">
    <cfRule type="cellIs" dxfId="289" priority="15" operator="greaterThan">
      <formula>$B$12</formula>
    </cfRule>
  </conditionalFormatting>
  <conditionalFormatting sqref="B7">
    <cfRule type="cellIs" dxfId="288" priority="12" operator="greaterThan">
      <formula>$B$12</formula>
    </cfRule>
  </conditionalFormatting>
  <conditionalFormatting sqref="D10">
    <cfRule type="cellIs" dxfId="287" priority="1" operator="greaterThan">
      <formula>$B$12</formula>
    </cfRule>
  </conditionalFormatting>
  <conditionalFormatting sqref="D6">
    <cfRule type="cellIs" dxfId="286" priority="13" operator="greaterThan">
      <formula>$B$12</formula>
    </cfRule>
  </conditionalFormatting>
  <conditionalFormatting sqref="C7">
    <cfRule type="cellIs" dxfId="285" priority="11" operator="greaterThan">
      <formula>$B$12</formula>
    </cfRule>
  </conditionalFormatting>
  <conditionalFormatting sqref="D7">
    <cfRule type="cellIs" dxfId="284" priority="10" operator="greaterThan">
      <formula>$B$12</formula>
    </cfRule>
  </conditionalFormatting>
  <conditionalFormatting sqref="B8">
    <cfRule type="cellIs" dxfId="283" priority="9" operator="greaterThan">
      <formula>$B$12</formula>
    </cfRule>
  </conditionalFormatting>
  <conditionalFormatting sqref="B10">
    <cfRule type="cellIs" dxfId="282" priority="7" operator="greaterThan">
      <formula>$B$12</formula>
    </cfRule>
  </conditionalFormatting>
  <conditionalFormatting sqref="C8">
    <cfRule type="cellIs" dxfId="281" priority="6" operator="greaterThan">
      <formula>$B$12</formula>
    </cfRule>
  </conditionalFormatting>
  <conditionalFormatting sqref="D8">
    <cfRule type="cellIs" dxfId="280" priority="5" operator="greaterThan">
      <formula>$B$12</formula>
    </cfRule>
  </conditionalFormatting>
  <conditionalFormatting sqref="C9">
    <cfRule type="cellIs" dxfId="279" priority="4" operator="greaterThan">
      <formula>$B$12</formula>
    </cfRule>
  </conditionalFormatting>
  <conditionalFormatting sqref="D9">
    <cfRule type="cellIs" dxfId="278" priority="3" operator="greaterThan">
      <formula>$B$12</formula>
    </cfRule>
  </conditionalFormatting>
  <conditionalFormatting sqref="C10">
    <cfRule type="cellIs" dxfId="27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6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30" style="11" bestFit="1" customWidth="1"/>
    <col min="8" max="8" width="21.5546875" style="11" bestFit="1" customWidth="1"/>
    <col min="9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31" x14ac:dyDescent="0.3">
      <c r="A1" s="10"/>
    </row>
    <row r="2" spans="1:31" ht="18" thickBot="1" x14ac:dyDescent="0.35"/>
    <row r="3" spans="1:31" ht="18" thickBot="1" x14ac:dyDescent="0.35">
      <c r="A3" s="35" t="s">
        <v>66</v>
      </c>
      <c r="B3" s="432">
        <v>1.6</v>
      </c>
      <c r="C3" s="432"/>
      <c r="D3" s="433"/>
    </row>
    <row r="4" spans="1:31" ht="18" thickBot="1" x14ac:dyDescent="0.35">
      <c r="G4" s="108" t="str">
        <f>"04"</f>
        <v>04</v>
      </c>
      <c r="H4" s="108" t="str">
        <f>"04"</f>
        <v>04</v>
      </c>
      <c r="I4" s="381">
        <v>50</v>
      </c>
      <c r="J4" s="382"/>
      <c r="K4" s="382"/>
      <c r="L4" s="382"/>
      <c r="M4" s="382"/>
      <c r="N4" s="399"/>
      <c r="O4" s="383">
        <v>75</v>
      </c>
      <c r="P4" s="383"/>
      <c r="Q4" s="383"/>
      <c r="R4" s="383"/>
      <c r="S4" s="383"/>
      <c r="T4" s="400"/>
      <c r="U4" s="384">
        <v>90</v>
      </c>
      <c r="V4" s="385"/>
      <c r="W4" s="385"/>
      <c r="X4" s="385"/>
      <c r="Y4" s="385"/>
      <c r="Z4" s="401"/>
      <c r="AA4" s="391" t="s">
        <v>53</v>
      </c>
      <c r="AB4" s="392"/>
      <c r="AC4" s="393"/>
    </row>
    <row r="5" spans="1:31" ht="18" thickBot="1" x14ac:dyDescent="0.35">
      <c r="A5" s="13" t="s">
        <v>52</v>
      </c>
      <c r="B5" s="14">
        <v>1</v>
      </c>
      <c r="C5" s="15">
        <v>4</v>
      </c>
      <c r="D5" s="15">
        <v>8</v>
      </c>
      <c r="E5" s="104"/>
      <c r="F5" s="13" t="s">
        <v>9</v>
      </c>
      <c r="G5" s="13" t="s">
        <v>200</v>
      </c>
      <c r="H5" s="13" t="s">
        <v>223</v>
      </c>
      <c r="I5" s="402" t="s">
        <v>14</v>
      </c>
      <c r="J5" s="403"/>
      <c r="K5" s="404"/>
      <c r="L5" s="381" t="s">
        <v>55</v>
      </c>
      <c r="M5" s="382"/>
      <c r="N5" s="399"/>
      <c r="O5" s="405" t="s">
        <v>14</v>
      </c>
      <c r="P5" s="383"/>
      <c r="Q5" s="400"/>
      <c r="R5" s="405" t="s">
        <v>55</v>
      </c>
      <c r="S5" s="383"/>
      <c r="T5" s="400"/>
      <c r="U5" s="384" t="s">
        <v>14</v>
      </c>
      <c r="V5" s="385"/>
      <c r="W5" s="401"/>
      <c r="X5" s="388" t="s">
        <v>55</v>
      </c>
      <c r="Y5" s="389"/>
      <c r="Z5" s="390"/>
      <c r="AA5" s="394"/>
      <c r="AB5" s="395"/>
      <c r="AC5" s="396"/>
    </row>
    <row r="6" spans="1:31" ht="18" thickBot="1" x14ac:dyDescent="0.35">
      <c r="A6" s="16">
        <v>6</v>
      </c>
      <c r="B6" s="17">
        <f>(((SQRT(B5)*$B$3)/SQRT(3))*$C$15)/$A6</f>
        <v>184.75208614068026</v>
      </c>
      <c r="C6" s="17">
        <f>(((SQRT(C5)*$B$3)/SQRT(3))*$C$15)/$A6</f>
        <v>369.50417228136052</v>
      </c>
      <c r="D6" s="17">
        <f>(((SQRT(D5)*$B$3)/SQRT(3))*$C$15)/$A6</f>
        <v>522.5578117937448</v>
      </c>
      <c r="E6" s="105"/>
      <c r="F6" s="106" t="str">
        <f>_2021b</f>
        <v>Lechler</v>
      </c>
      <c r="G6" s="106" t="str">
        <f>_2021c</f>
        <v>IDTA 120 04 C</v>
      </c>
      <c r="H6" s="106" t="str">
        <f>_2021t</f>
        <v>ID (3) 120 04</v>
      </c>
      <c r="I6" s="132">
        <f>_2021h</f>
        <v>0</v>
      </c>
      <c r="J6" s="42" t="str">
        <f>IF(I6="","","bis")</f>
        <v>bis</v>
      </c>
      <c r="K6" s="18">
        <f>_2021i</f>
        <v>0</v>
      </c>
      <c r="L6" s="20">
        <f>(((SQRT($I6)*$B$3)/SQRT(3))*60000)/($B$12*$B$15)</f>
        <v>0</v>
      </c>
      <c r="M6" s="42" t="str">
        <f>IF(L6="","","bis")</f>
        <v>bis</v>
      </c>
      <c r="N6" s="18">
        <f>(((SQRT($K6)*$B$3)/SQRT(3))*60000)/($B$12*$B$15)</f>
        <v>0</v>
      </c>
      <c r="O6" s="19">
        <f>_2021j</f>
        <v>1</v>
      </c>
      <c r="P6" s="42" t="str">
        <f>IF(O6="","","bis")</f>
        <v>bis</v>
      </c>
      <c r="Q6" s="18">
        <f>_2021k</f>
        <v>2</v>
      </c>
      <c r="R6" s="20">
        <f>(((SQRT($O6)*$B$3)/SQRT(3))*60000)/($B$12*$B$15)</f>
        <v>5.5425625842204074</v>
      </c>
      <c r="S6" s="42" t="str">
        <f>IF(R6="","","bis")</f>
        <v>bis</v>
      </c>
      <c r="T6" s="18">
        <f>(((SQRT($Q6)*$B$3)/SQRT(3))*60000)/($B$12*$B$15)</f>
        <v>7.8383671769061722</v>
      </c>
      <c r="U6" s="20">
        <f>_2021l</f>
        <v>1</v>
      </c>
      <c r="V6" s="42" t="str">
        <f>IF(U6="","","bis")</f>
        <v>bis</v>
      </c>
      <c r="W6" s="19">
        <f>_2021m</f>
        <v>1.5</v>
      </c>
      <c r="X6" s="20">
        <f>(((SQRT($U6)*$B$3)/SQRT(3))*60000)/($B$12*$B$15)</f>
        <v>5.5425625842204074</v>
      </c>
      <c r="Y6" s="42" t="str">
        <f>IF(X6="","","bis")</f>
        <v>bis</v>
      </c>
      <c r="Z6" s="19">
        <f>(((SQRT($W6)*$B$3)/SQRT(3))*60000)/($B$12*$B$15)</f>
        <v>6.7882250993908562</v>
      </c>
      <c r="AA6" s="133">
        <f>_2021f</f>
        <v>1</v>
      </c>
      <c r="AB6" s="42" t="str">
        <f>IF(AA6="","","bis")</f>
        <v>bis</v>
      </c>
      <c r="AC6" s="134">
        <f>_2021g</f>
        <v>8</v>
      </c>
    </row>
    <row r="7" spans="1:31" ht="18" thickBot="1" x14ac:dyDescent="0.35">
      <c r="A7" s="21">
        <v>7</v>
      </c>
      <c r="B7" s="17">
        <f>(((SQRT(B5)*$B$3)/SQRT(3))*$C$15)/$A7</f>
        <v>158.35893097772595</v>
      </c>
      <c r="C7" s="17">
        <f>(((SQRT(C5)*$B$3)/SQRT(3))*$C$15)/$A7</f>
        <v>316.71786195545189</v>
      </c>
      <c r="D7" s="17">
        <f>(((SQRT(D5)*$B$3)/SQRT(3))*$C$15)/$A7</f>
        <v>447.90669582320982</v>
      </c>
      <c r="E7" s="105"/>
      <c r="F7" s="106" t="str">
        <f>_1933b</f>
        <v>Lechler</v>
      </c>
      <c r="G7" s="106" t="str">
        <f>_1933c</f>
        <v>IDKT 120 04</v>
      </c>
      <c r="H7" s="106" t="str">
        <f>_1933t</f>
        <v>IDKN 120 04</v>
      </c>
      <c r="I7" s="132">
        <f>_1933h</f>
        <v>1</v>
      </c>
      <c r="J7" s="42" t="str">
        <f>IF(I7="","","bis")</f>
        <v>bis</v>
      </c>
      <c r="K7" s="18">
        <f>_1933i</f>
        <v>2</v>
      </c>
      <c r="L7" s="20">
        <f>(((SQRT($I7)*$B$3)/SQRT(3))*60000)/($B$12*$B$15)</f>
        <v>5.5425625842204074</v>
      </c>
      <c r="M7" s="42" t="str">
        <f>IF(L7="","","bis")</f>
        <v>bis</v>
      </c>
      <c r="N7" s="18">
        <f>(((SQRT($K7)*$B$3)/SQRT(3))*60000)/($B$12*$B$15)</f>
        <v>7.8383671769061722</v>
      </c>
      <c r="O7" s="20">
        <f>_1933j</f>
        <v>1</v>
      </c>
      <c r="P7" s="42" t="str">
        <f>IF(O7="","","bis")</f>
        <v>bis</v>
      </c>
      <c r="Q7" s="18">
        <f>_1933k</f>
        <v>1.5</v>
      </c>
      <c r="R7" s="20">
        <f>(((SQRT($O7)*$B$3)/SQRT(3))*60000)/($B$12*$B$15)</f>
        <v>5.5425625842204074</v>
      </c>
      <c r="S7" s="42" t="str">
        <f>IF(R7="","","bis")</f>
        <v>bis</v>
      </c>
      <c r="T7" s="18">
        <f>(((SQRT($Q7)*$B$3)/SQRT(3))*60000)/($B$12*$B$15)</f>
        <v>6.7882250993908562</v>
      </c>
      <c r="U7" s="20">
        <f>_1933l</f>
        <v>1</v>
      </c>
      <c r="V7" s="42" t="str">
        <f>IF(U7="","","bis")</f>
        <v>bis</v>
      </c>
      <c r="W7" s="18">
        <f>_1933m</f>
        <v>1</v>
      </c>
      <c r="X7" s="20">
        <f>(((SQRT($U7)*$B$3)/SQRT(3))*60000)/($B$12*$B$15)</f>
        <v>5.5425625842204074</v>
      </c>
      <c r="Y7" s="42" t="str">
        <f>IF(X7="","","bis")</f>
        <v>bis</v>
      </c>
      <c r="Z7" s="18">
        <f>(((SQRT($W7)*$B$3)/SQRT(3))*60000)/($B$12*$B$15)</f>
        <v>5.5425625842204074</v>
      </c>
      <c r="AA7" s="133">
        <f>_1933f</f>
        <v>1</v>
      </c>
      <c r="AB7" s="42" t="str">
        <f>IF(AA7="","","bis")</f>
        <v>bis</v>
      </c>
      <c r="AC7" s="134">
        <f>_1933g</f>
        <v>6</v>
      </c>
    </row>
    <row r="8" spans="1:31" ht="18" thickBot="1" x14ac:dyDescent="0.35">
      <c r="A8" s="21">
        <v>8</v>
      </c>
      <c r="B8" s="17">
        <f>(((SQRT(B5)*$B$3)/SQRT(3))*$C$15)/$A8</f>
        <v>138.5640646055102</v>
      </c>
      <c r="C8" s="17">
        <f>(((SQRT(C5)*$B$3)/SQRT(3))*1200)/$A8</f>
        <v>277.12812921102039</v>
      </c>
      <c r="D8" s="17">
        <f>(((SQRT(D5)*$B$3)/SQRT(3))*1200)/$A8</f>
        <v>391.9183588453086</v>
      </c>
      <c r="E8" s="105"/>
      <c r="F8" s="106"/>
      <c r="G8" s="106"/>
      <c r="H8" s="106"/>
      <c r="I8" s="132"/>
      <c r="J8" s="42" t="str">
        <f>IF(I8="","","bis")</f>
        <v/>
      </c>
      <c r="K8" s="18"/>
      <c r="L8" s="20">
        <f>(((SQRT($I8)*$B$3)/SQRT(3))*60000)/($B$12*$B$15)</f>
        <v>0</v>
      </c>
      <c r="M8" s="42" t="str">
        <f>IF(L8="","","bis")</f>
        <v>bis</v>
      </c>
      <c r="N8" s="18">
        <f>(((SQRT($K8)*$B$3)/SQRT(3))*60000)/($B$12*$B$15)</f>
        <v>0</v>
      </c>
      <c r="O8" s="20"/>
      <c r="P8" s="42" t="str">
        <f>IF(O8="","","bis")</f>
        <v/>
      </c>
      <c r="Q8" s="18"/>
      <c r="R8" s="20">
        <f>(((SQRT($O8)*$B$3)/SQRT(3))*60000)/($B$12*$B$15)</f>
        <v>0</v>
      </c>
      <c r="S8" s="42" t="str">
        <f>IF(R8="","","bis")</f>
        <v>bis</v>
      </c>
      <c r="T8" s="18">
        <f>(((SQRT($Q8)*$B$3)/SQRT(3))*60000)/($B$12*$B$15)</f>
        <v>0</v>
      </c>
      <c r="U8" s="20"/>
      <c r="V8" s="42" t="str">
        <f>IF(U8="","","bis")</f>
        <v/>
      </c>
      <c r="W8" s="18"/>
      <c r="X8" s="20">
        <f>(((SQRT($U8)*$B$3)/SQRT(3))*60000)/($B$12*$B$15)</f>
        <v>0</v>
      </c>
      <c r="Y8" s="42" t="str">
        <f>IF(X8="","","bis")</f>
        <v>bis</v>
      </c>
      <c r="Z8" s="18">
        <f>(((SQRT($W8)*$B$3)/SQRT(3))*60000)/($B$12*$B$15)</f>
        <v>0</v>
      </c>
      <c r="AA8" s="133"/>
      <c r="AB8" s="42" t="str">
        <f>IF(AA8="","","bis")</f>
        <v/>
      </c>
      <c r="AC8" s="134"/>
    </row>
    <row r="9" spans="1:31" ht="18" thickBot="1" x14ac:dyDescent="0.35">
      <c r="A9" s="21">
        <v>9</v>
      </c>
      <c r="B9" s="17">
        <f>(((SQRT(B5)*$B$3)/SQRT(3))*$C$15)/$A9</f>
        <v>123.16805742712017</v>
      </c>
      <c r="C9" s="17">
        <f>(((SQRT(C5)*$B$3)/SQRT(3))*$C$15)/$A9</f>
        <v>246.33611485424035</v>
      </c>
      <c r="D9" s="17">
        <f>(((SQRT(D5)*$B$3)/SQRT(3))*$C$15)/$A9</f>
        <v>348.37187452916322</v>
      </c>
      <c r="E9" s="105"/>
      <c r="F9" s="106"/>
      <c r="G9" s="106"/>
      <c r="H9" s="106"/>
      <c r="I9" s="132"/>
      <c r="J9" s="42" t="str">
        <f>IF(I9="","","bis")</f>
        <v/>
      </c>
      <c r="K9" s="18"/>
      <c r="L9" s="20">
        <f>(((SQRT($I9)*$B$3)/SQRT(3))*60000)/($B$12*$B$15)</f>
        <v>0</v>
      </c>
      <c r="M9" s="42" t="str">
        <f>IF(L9="","","bis")</f>
        <v>bis</v>
      </c>
      <c r="N9" s="18">
        <f>(((SQRT($K9)*$B$3)/SQRT(3))*60000)/($B$12*$B$15)</f>
        <v>0</v>
      </c>
      <c r="O9" s="20"/>
      <c r="P9" s="42" t="str">
        <f>IF(O9="","","bis")</f>
        <v/>
      </c>
      <c r="Q9" s="18"/>
      <c r="R9" s="20">
        <f>(((SQRT($O9)*$B$3)/SQRT(3))*60000)/($B$12*$B$15)</f>
        <v>0</v>
      </c>
      <c r="S9" s="42" t="str">
        <f>IF(R9="","","bis")</f>
        <v>bis</v>
      </c>
      <c r="T9" s="18">
        <f>(((SQRT($Q9)*$B$3)/SQRT(3))*60000)/($B$12*$B$15)</f>
        <v>0</v>
      </c>
      <c r="U9" s="20"/>
      <c r="V9" s="42" t="str">
        <f>IF(U9="","","bis")</f>
        <v/>
      </c>
      <c r="W9" s="19"/>
      <c r="X9" s="20">
        <f>(((SQRT($U9)*$B$3)/SQRT(3))*60000)/($B$12*$B$15)</f>
        <v>0</v>
      </c>
      <c r="Y9" s="42" t="str">
        <f>IF(X9="","","bis")</f>
        <v>bis</v>
      </c>
      <c r="Z9" s="18">
        <f>(((SQRT($W9)*$B$3)/SQRT(3))*60000)/($B$12*$B$15)</f>
        <v>0</v>
      </c>
      <c r="AA9" s="133"/>
      <c r="AB9" s="42" t="str">
        <f>IF(AA9="","","bis")</f>
        <v/>
      </c>
      <c r="AC9" s="134"/>
    </row>
    <row r="10" spans="1:31" ht="18" thickBot="1" x14ac:dyDescent="0.35">
      <c r="A10" s="22">
        <v>10</v>
      </c>
      <c r="B10" s="27">
        <f>(((SQRT(B5)*$B$3)/SQRT(3))*$C$15)/$A10</f>
        <v>110.85125168440815</v>
      </c>
      <c r="C10" s="27">
        <f>(((SQRT(C5)*$B$3)/SQRT(3))*$C$15)/$A10</f>
        <v>221.70250336881631</v>
      </c>
      <c r="D10" s="27">
        <f>(((SQRT(D5)*$B$3)/SQRT(3))*$C$15)/$A10</f>
        <v>313.53468707624688</v>
      </c>
      <c r="E10" s="105"/>
      <c r="F10" s="106"/>
      <c r="G10" s="106"/>
      <c r="H10" s="106"/>
      <c r="I10" s="132"/>
      <c r="J10" s="42" t="str">
        <f>IF(I10="","","bis")</f>
        <v/>
      </c>
      <c r="K10" s="18"/>
      <c r="L10" s="20">
        <f>(((SQRT($I10)*$B$3)/SQRT(3))*60000)/($B$12*$B$15)</f>
        <v>0</v>
      </c>
      <c r="M10" s="42" t="str">
        <f>IF(L10="","","bis")</f>
        <v>bis</v>
      </c>
      <c r="N10" s="18">
        <f>(((SQRT($K10)*$B$3)/SQRT(3))*60000)/($B$12*$B$15)</f>
        <v>0</v>
      </c>
      <c r="O10" s="20"/>
      <c r="P10" s="42" t="str">
        <f>IF(O10="","","bis")</f>
        <v/>
      </c>
      <c r="Q10" s="18"/>
      <c r="R10" s="20">
        <f>(((SQRT($O10)*$B$3)/SQRT(3))*60000)/($B$12*$B$15)</f>
        <v>0</v>
      </c>
      <c r="S10" s="42" t="str">
        <f>IF(R10="","","bis")</f>
        <v>bis</v>
      </c>
      <c r="T10" s="18">
        <f>(((SQRT($Q10)*$B$3)/SQRT(3))*60000)/($B$12*$B$15)</f>
        <v>0</v>
      </c>
      <c r="U10" s="20"/>
      <c r="V10" s="42" t="str">
        <f>IF(U10="","","bis")</f>
        <v/>
      </c>
      <c r="W10" s="18"/>
      <c r="X10" s="20">
        <f>(((SQRT($U10)*$B$3)/SQRT(3))*60000)/($B$12*$B$15)</f>
        <v>0</v>
      </c>
      <c r="Y10" s="42" t="str">
        <f>IF(X10="","","bis")</f>
        <v>bis</v>
      </c>
      <c r="Z10" s="18">
        <f>(((SQRT($W10)*$B$3)/SQRT(3))*60000)/($B$12*$B$15)</f>
        <v>0</v>
      </c>
      <c r="AA10" s="133"/>
      <c r="AB10" s="42" t="str">
        <f>IF(AA10="","","bis")</f>
        <v/>
      </c>
      <c r="AC10" s="134"/>
    </row>
    <row r="11" spans="1:31" ht="18" thickBot="1" x14ac:dyDescent="0.35">
      <c r="J11" s="2"/>
    </row>
    <row r="12" spans="1:31" ht="18" thickBot="1" x14ac:dyDescent="0.35">
      <c r="A12" s="23" t="s">
        <v>56</v>
      </c>
      <c r="B12" s="8">
        <v>200</v>
      </c>
      <c r="C12" s="24"/>
      <c r="D12" s="167">
        <f>Tabelle1!A2</f>
        <v>200</v>
      </c>
      <c r="F12" s="115"/>
      <c r="G12" s="115"/>
      <c r="H12" s="115"/>
      <c r="I12" s="115"/>
      <c r="J12" s="115"/>
      <c r="K12" s="115"/>
      <c r="L12" s="115"/>
      <c r="M12" s="115"/>
      <c r="N12" s="115"/>
      <c r="O12" s="116"/>
      <c r="P12" s="116"/>
      <c r="Q12" s="116"/>
      <c r="R12" s="116"/>
      <c r="S12" s="116"/>
      <c r="T12" s="116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</row>
    <row r="13" spans="1:31" ht="18" thickBot="1" x14ac:dyDescent="0.35">
      <c r="A13" s="23" t="s">
        <v>57</v>
      </c>
      <c r="B13" s="25">
        <f>POWER(((SQRT(3)*$C$13)/$B$3),2)</f>
        <v>0.81380208333333304</v>
      </c>
      <c r="C13" s="26">
        <f>(B12*B14*B15)/60000</f>
        <v>0.83333333333333337</v>
      </c>
      <c r="D13" s="25">
        <f>POWER(((SQRT(3)*$E$13)/$B$3),2)</f>
        <v>9.4075520833333321</v>
      </c>
      <c r="E13" s="26">
        <f>(D12*D14*D15)/60000</f>
        <v>2.8333333333333335</v>
      </c>
      <c r="F13" s="115"/>
      <c r="G13" s="115"/>
      <c r="H13" s="115"/>
      <c r="I13" s="115"/>
      <c r="J13" s="115"/>
      <c r="K13" s="115"/>
      <c r="L13" s="115"/>
      <c r="M13" s="115"/>
      <c r="N13" s="115"/>
      <c r="O13" s="116"/>
      <c r="P13" s="116"/>
      <c r="Q13" s="116"/>
      <c r="R13" s="116"/>
      <c r="S13" s="116"/>
      <c r="T13" s="116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</row>
    <row r="14" spans="1:31" ht="18" thickBot="1" x14ac:dyDescent="0.35">
      <c r="A14" s="23" t="s">
        <v>58</v>
      </c>
      <c r="B14" s="9">
        <v>5</v>
      </c>
      <c r="D14" s="168">
        <f>Tabelle1!A4</f>
        <v>17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6"/>
      <c r="P14" s="116"/>
      <c r="Q14" s="116"/>
      <c r="R14" s="116"/>
      <c r="S14" s="116"/>
      <c r="T14" s="116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</row>
    <row r="15" spans="1:31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  <c r="F15" s="115"/>
      <c r="G15" s="115"/>
      <c r="H15" s="115"/>
      <c r="I15" s="115"/>
      <c r="J15" s="115"/>
      <c r="K15" s="115"/>
      <c r="L15" s="115"/>
      <c r="M15" s="115"/>
      <c r="N15" s="115"/>
      <c r="O15" s="116"/>
      <c r="P15" s="116"/>
      <c r="Q15" s="116"/>
      <c r="R15" s="116"/>
      <c r="S15" s="116"/>
      <c r="T15" s="116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</row>
    <row r="16" spans="1:31" x14ac:dyDescent="0.3"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6"/>
      <c r="P16" s="116"/>
      <c r="Q16" s="116"/>
      <c r="R16" s="116"/>
      <c r="S16" s="116"/>
      <c r="T16" s="116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</row>
    <row r="17" spans="4:31" x14ac:dyDescent="0.3"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6"/>
      <c r="P17" s="116"/>
      <c r="Q17" s="116"/>
      <c r="R17" s="116"/>
      <c r="S17" s="116"/>
      <c r="T17" s="116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</row>
    <row r="18" spans="4:31" x14ac:dyDescent="0.3">
      <c r="D18" s="115"/>
      <c r="E18" s="115"/>
      <c r="F18" s="115"/>
      <c r="G18" s="119"/>
      <c r="H18" s="119"/>
      <c r="I18" s="428"/>
      <c r="J18" s="428"/>
      <c r="K18" s="428"/>
      <c r="L18" s="428"/>
      <c r="M18" s="428"/>
      <c r="N18" s="428"/>
      <c r="O18" s="429"/>
      <c r="P18" s="429"/>
      <c r="Q18" s="429"/>
      <c r="R18" s="429"/>
      <c r="S18" s="429"/>
      <c r="T18" s="429"/>
      <c r="U18" s="428"/>
      <c r="V18" s="428"/>
      <c r="W18" s="428"/>
      <c r="X18" s="428"/>
      <c r="Y18" s="428"/>
      <c r="Z18" s="428"/>
      <c r="AA18" s="395"/>
      <c r="AB18" s="395"/>
      <c r="AC18" s="395"/>
      <c r="AD18" s="115"/>
      <c r="AE18" s="115"/>
    </row>
    <row r="19" spans="4:31" x14ac:dyDescent="0.3">
      <c r="D19" s="115"/>
      <c r="E19" s="115"/>
      <c r="F19" s="116"/>
      <c r="G19" s="116"/>
      <c r="H19" s="116"/>
      <c r="I19" s="428"/>
      <c r="J19" s="428"/>
      <c r="K19" s="428"/>
      <c r="L19" s="428"/>
      <c r="M19" s="428"/>
      <c r="N19" s="428"/>
      <c r="O19" s="429"/>
      <c r="P19" s="429"/>
      <c r="Q19" s="429"/>
      <c r="R19" s="429"/>
      <c r="S19" s="429"/>
      <c r="T19" s="429"/>
      <c r="U19" s="428"/>
      <c r="V19" s="428"/>
      <c r="W19" s="428"/>
      <c r="X19" s="428"/>
      <c r="Y19" s="428"/>
      <c r="Z19" s="428"/>
      <c r="AA19" s="395"/>
      <c r="AB19" s="395"/>
      <c r="AC19" s="395"/>
      <c r="AD19" s="115"/>
      <c r="AE19" s="115"/>
    </row>
    <row r="20" spans="4:31" x14ac:dyDescent="0.3">
      <c r="D20" s="115"/>
      <c r="E20" s="115"/>
      <c r="F20" s="115"/>
      <c r="G20" s="115"/>
      <c r="H20" s="115"/>
      <c r="I20" s="136"/>
      <c r="J20" s="117"/>
      <c r="K20" s="118"/>
      <c r="L20" s="118"/>
      <c r="M20" s="117"/>
      <c r="N20" s="118"/>
      <c r="O20" s="118"/>
      <c r="P20" s="117"/>
      <c r="Q20" s="118"/>
      <c r="R20" s="118"/>
      <c r="S20" s="117"/>
      <c r="T20" s="118"/>
      <c r="U20" s="118"/>
      <c r="V20" s="117"/>
      <c r="W20" s="118"/>
      <c r="X20" s="118"/>
      <c r="Y20" s="117"/>
      <c r="Z20" s="118"/>
      <c r="AA20" s="137"/>
      <c r="AB20" s="117"/>
      <c r="AC20" s="117"/>
      <c r="AD20" s="115"/>
      <c r="AE20" s="115"/>
    </row>
    <row r="21" spans="4:31" x14ac:dyDescent="0.3">
      <c r="D21" s="115"/>
      <c r="E21" s="115"/>
      <c r="F21" s="115"/>
      <c r="G21" s="115"/>
      <c r="H21" s="115"/>
      <c r="I21" s="136"/>
      <c r="J21" s="117"/>
      <c r="K21" s="118"/>
      <c r="L21" s="118"/>
      <c r="M21" s="117"/>
      <c r="N21" s="118"/>
      <c r="O21" s="118"/>
      <c r="P21" s="117"/>
      <c r="Q21" s="118"/>
      <c r="R21" s="118"/>
      <c r="S21" s="117"/>
      <c r="T21" s="118"/>
      <c r="U21" s="118"/>
      <c r="V21" s="117"/>
      <c r="W21" s="118"/>
      <c r="X21" s="118"/>
      <c r="Y21" s="117"/>
      <c r="Z21" s="118"/>
      <c r="AA21" s="137"/>
      <c r="AB21" s="117"/>
      <c r="AC21" s="117"/>
      <c r="AD21" s="115"/>
      <c r="AE21" s="115"/>
    </row>
    <row r="22" spans="4:31" x14ac:dyDescent="0.3">
      <c r="D22" s="115"/>
      <c r="E22" s="115"/>
      <c r="F22" s="115"/>
      <c r="G22" s="115"/>
      <c r="H22" s="115"/>
      <c r="I22" s="136"/>
      <c r="J22" s="117"/>
      <c r="K22" s="118"/>
      <c r="L22" s="118"/>
      <c r="M22" s="117"/>
      <c r="N22" s="118"/>
      <c r="O22" s="118"/>
      <c r="P22" s="117"/>
      <c r="Q22" s="118"/>
      <c r="R22" s="118"/>
      <c r="S22" s="117"/>
      <c r="T22" s="118"/>
      <c r="U22" s="118"/>
      <c r="V22" s="117"/>
      <c r="W22" s="118"/>
      <c r="X22" s="118"/>
      <c r="Y22" s="117"/>
      <c r="Z22" s="118"/>
      <c r="AA22" s="137"/>
      <c r="AB22" s="117"/>
      <c r="AC22" s="117"/>
      <c r="AD22" s="115"/>
      <c r="AE22" s="115"/>
    </row>
    <row r="23" spans="4:31" x14ac:dyDescent="0.3">
      <c r="D23" s="115"/>
      <c r="E23" s="115"/>
      <c r="F23" s="115"/>
      <c r="G23" s="115"/>
      <c r="H23" s="115"/>
      <c r="I23" s="136"/>
      <c r="J23" s="117"/>
      <c r="K23" s="118"/>
      <c r="L23" s="118"/>
      <c r="M23" s="117"/>
      <c r="N23" s="118"/>
      <c r="O23" s="118"/>
      <c r="P23" s="117"/>
      <c r="Q23" s="118"/>
      <c r="R23" s="118"/>
      <c r="S23" s="117"/>
      <c r="T23" s="118"/>
      <c r="U23" s="118"/>
      <c r="V23" s="117"/>
      <c r="W23" s="118"/>
      <c r="X23" s="118"/>
      <c r="Y23" s="117"/>
      <c r="Z23" s="118"/>
      <c r="AA23" s="137"/>
      <c r="AB23" s="117"/>
      <c r="AC23" s="117"/>
      <c r="AD23" s="115"/>
      <c r="AE23" s="115"/>
    </row>
    <row r="24" spans="4:31" x14ac:dyDescent="0.3">
      <c r="D24" s="115"/>
      <c r="E24" s="115"/>
      <c r="F24" s="115"/>
      <c r="G24" s="115"/>
      <c r="H24" s="115"/>
      <c r="I24" s="136"/>
      <c r="J24" s="117"/>
      <c r="K24" s="118"/>
      <c r="L24" s="118"/>
      <c r="M24" s="117"/>
      <c r="N24" s="118"/>
      <c r="O24" s="118"/>
      <c r="P24" s="117"/>
      <c r="Q24" s="118"/>
      <c r="R24" s="118"/>
      <c r="S24" s="117"/>
      <c r="T24" s="118"/>
      <c r="U24" s="118"/>
      <c r="V24" s="117"/>
      <c r="W24" s="118"/>
      <c r="X24" s="118"/>
      <c r="Y24" s="117"/>
      <c r="Z24" s="118"/>
      <c r="AA24" s="137"/>
      <c r="AB24" s="117"/>
      <c r="AC24" s="117"/>
      <c r="AD24" s="115"/>
      <c r="AE24" s="115"/>
    </row>
    <row r="25" spans="4:31" x14ac:dyDescent="0.3"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6"/>
      <c r="P25" s="116"/>
      <c r="Q25" s="116"/>
      <c r="R25" s="116"/>
      <c r="S25" s="116"/>
      <c r="T25" s="116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</row>
    <row r="26" spans="4:31" x14ac:dyDescent="0.3"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6"/>
      <c r="P26" s="116"/>
      <c r="Q26" s="116"/>
      <c r="R26" s="116"/>
      <c r="S26" s="116"/>
      <c r="T26" s="116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</row>
  </sheetData>
  <sheetProtection algorithmName="SHA-512" hashValue="scKf1AGkGlZWI/yLDvEQjbP3x6V8AeSmIhbc6EhcTelkb2Ur+kdC2WfJ90uMAtrmgOUm7Z51rZSQLYkuvzVwEA==" saltValue="yzvV2NAOMg8iXegSjoou+A==" spinCount="100000" sheet="1" objects="1" scenarios="1"/>
  <mergeCells count="21">
    <mergeCell ref="B3:D3"/>
    <mergeCell ref="I4:N4"/>
    <mergeCell ref="O4:T4"/>
    <mergeCell ref="U4:Z4"/>
    <mergeCell ref="AA4:AC5"/>
    <mergeCell ref="I5:K5"/>
    <mergeCell ref="L5:N5"/>
    <mergeCell ref="O5:Q5"/>
    <mergeCell ref="R5:T5"/>
    <mergeCell ref="U5:W5"/>
    <mergeCell ref="X5:Z5"/>
    <mergeCell ref="AA18:AC19"/>
    <mergeCell ref="I19:K19"/>
    <mergeCell ref="L19:N19"/>
    <mergeCell ref="O19:Q19"/>
    <mergeCell ref="R19:T19"/>
    <mergeCell ref="U19:W19"/>
    <mergeCell ref="X19:Z19"/>
    <mergeCell ref="I18:N18"/>
    <mergeCell ref="O18:T18"/>
    <mergeCell ref="U18:Z18"/>
  </mergeCells>
  <conditionalFormatting sqref="B9 E6:E10">
    <cfRule type="cellIs" dxfId="276" priority="8" operator="greaterThan">
      <formula>$B$12</formula>
    </cfRule>
  </conditionalFormatting>
  <conditionalFormatting sqref="C6">
    <cfRule type="cellIs" dxfId="275" priority="14" operator="greaterThan">
      <formula>$B$12</formula>
    </cfRule>
  </conditionalFormatting>
  <conditionalFormatting sqref="B6">
    <cfRule type="cellIs" dxfId="274" priority="15" operator="greaterThan">
      <formula>$B$12</formula>
    </cfRule>
  </conditionalFormatting>
  <conditionalFormatting sqref="B7">
    <cfRule type="cellIs" dxfId="273" priority="12" operator="greaterThan">
      <formula>$B$12</formula>
    </cfRule>
  </conditionalFormatting>
  <conditionalFormatting sqref="D10">
    <cfRule type="cellIs" dxfId="272" priority="1" operator="greaterThan">
      <formula>$B$12</formula>
    </cfRule>
  </conditionalFormatting>
  <conditionalFormatting sqref="D6">
    <cfRule type="cellIs" dxfId="271" priority="13" operator="greaterThan">
      <formula>$B$12</formula>
    </cfRule>
  </conditionalFormatting>
  <conditionalFormatting sqref="C7">
    <cfRule type="cellIs" dxfId="270" priority="11" operator="greaterThan">
      <formula>$B$12</formula>
    </cfRule>
  </conditionalFormatting>
  <conditionalFormatting sqref="D7">
    <cfRule type="cellIs" dxfId="269" priority="10" operator="greaterThan">
      <formula>$B$12</formula>
    </cfRule>
  </conditionalFormatting>
  <conditionalFormatting sqref="B8">
    <cfRule type="cellIs" dxfId="268" priority="9" operator="greaterThan">
      <formula>$B$12</formula>
    </cfRule>
  </conditionalFormatting>
  <conditionalFormatting sqref="B10">
    <cfRule type="cellIs" dxfId="267" priority="7" operator="greaterThan">
      <formula>$B$12</formula>
    </cfRule>
  </conditionalFormatting>
  <conditionalFormatting sqref="C8">
    <cfRule type="cellIs" dxfId="266" priority="6" operator="greaterThan">
      <formula>$B$12</formula>
    </cfRule>
  </conditionalFormatting>
  <conditionalFormatting sqref="D8">
    <cfRule type="cellIs" dxfId="265" priority="5" operator="greaterThan">
      <formula>$B$12</formula>
    </cfRule>
  </conditionalFormatting>
  <conditionalFormatting sqref="C9">
    <cfRule type="cellIs" dxfId="264" priority="4" operator="greaterThan">
      <formula>$B$12</formula>
    </cfRule>
  </conditionalFormatting>
  <conditionalFormatting sqref="D9">
    <cfRule type="cellIs" dxfId="263" priority="3" operator="greaterThan">
      <formula>$B$12</formula>
    </cfRule>
  </conditionalFormatting>
  <conditionalFormatting sqref="C10">
    <cfRule type="cellIs" dxfId="26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8.6640625" style="11" customWidth="1"/>
    <col min="8" max="8" width="5.109375" style="11" customWidth="1"/>
    <col min="9" max="9" width="5.109375" style="11" bestFit="1" customWidth="1"/>
    <col min="10" max="10" width="6.6640625" style="11" bestFit="1" customWidth="1"/>
    <col min="11" max="13" width="6.6640625" style="11" customWidth="1"/>
    <col min="14" max="14" width="6.6640625" style="11" bestFit="1" customWidth="1"/>
    <col min="15" max="16" width="5.109375" style="12" bestFit="1" customWidth="1"/>
    <col min="17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131" t="s">
        <v>65</v>
      </c>
      <c r="B3" s="397">
        <v>0.4</v>
      </c>
      <c r="C3" s="397"/>
      <c r="D3" s="398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92.376043070340131</v>
      </c>
      <c r="C6" s="17">
        <f>(((SQRT(C5)*$B$3)/SQRT(3))*$C$15)/$A6</f>
        <v>160</v>
      </c>
      <c r="D6" s="17">
        <f>(((SQRT(D5)*$B$3)/SQRT(3))*$C$15)/$A6</f>
        <v>226.27416997969522</v>
      </c>
      <c r="F6" s="106"/>
      <c r="G6" s="106"/>
      <c r="H6" s="132"/>
      <c r="I6" s="42" t="str">
        <f>IF(H6="","","bis")</f>
        <v/>
      </c>
      <c r="J6" s="19"/>
      <c r="K6" s="20">
        <f>(((SQRT($H6)*$B$3)/SQRT(3))*60000)/($B$12*$B$15)</f>
        <v>0</v>
      </c>
      <c r="L6" s="42" t="str">
        <f>IF(K6="","","bis")</f>
        <v>bis</v>
      </c>
      <c r="M6" s="18">
        <f>(((SQRT($J6)*$B$3)/SQRT(3))*60000)/($B$12*$B$15)</f>
        <v>0</v>
      </c>
      <c r="N6" s="19"/>
      <c r="O6" s="42" t="str">
        <f>IF(N6="","","bis")</f>
        <v/>
      </c>
      <c r="P6" s="18"/>
      <c r="Q6" s="20">
        <f>(((SQRT($N6)*$B$3)/SQRT(3))*60000)/($B$12*$B$15)</f>
        <v>0</v>
      </c>
      <c r="R6" s="42" t="str">
        <f>IF(Q6="","","bis")</f>
        <v>bis</v>
      </c>
      <c r="S6" s="18">
        <f>(((SQRT($P6)*$B$3)/SQRT(3))*60000)/($B$12*$B$15)</f>
        <v>0</v>
      </c>
      <c r="T6" s="20"/>
      <c r="U6" s="42" t="str">
        <f>IF(T6="","","bis")</f>
        <v/>
      </c>
      <c r="V6" s="19"/>
      <c r="W6" s="20">
        <f>(((SQRT($T6)*$B$3)/SQRT(3))*60000)/($B$12*$B$15)</f>
        <v>0</v>
      </c>
      <c r="X6" s="42" t="str">
        <f>IF(W6="","","bis")</f>
        <v>bis</v>
      </c>
      <c r="Y6" s="19">
        <f>(((SQRT($V6)*$B$3)/SQRT(3))*60000)/($B$12*$B$15)</f>
        <v>0</v>
      </c>
      <c r="Z6" s="133"/>
      <c r="AA6" s="42" t="str">
        <f>IF(Z6="","","bis")</f>
        <v/>
      </c>
      <c r="AB6" s="134"/>
    </row>
    <row r="7" spans="1:28" ht="18" thickBot="1" x14ac:dyDescent="0.35">
      <c r="A7" s="21">
        <v>7</v>
      </c>
      <c r="B7" s="17">
        <f>(((SQRT(B5)*$B$3)/SQRT(3))*$C$15)/$A7</f>
        <v>79.179465488862974</v>
      </c>
      <c r="C7" s="17">
        <f>(((SQRT(C5)*$B$3)/SQRT(3))*$C$15)/$A7</f>
        <v>137.14285714285714</v>
      </c>
      <c r="D7" s="17">
        <f>(((SQRT(D5)*$B$3)/SQRT(3))*$C$15)/$A7</f>
        <v>193.94928855402446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69.282032302755098</v>
      </c>
      <c r="C8" s="17">
        <f>(((SQRT(C5)*$B$3)/SQRT(3))*$C$15)/$A8</f>
        <v>120</v>
      </c>
      <c r="D8" s="17">
        <f>(((SQRT(D5)*$B$3)/SQRT(3))*$C$15)/$A8</f>
        <v>169.70562748477141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61.584028713560087</v>
      </c>
      <c r="C9" s="17">
        <f>(((SQRT(C5)*$B$3)/SQRT(3))*$C$15)/$A9</f>
        <v>106.66666666666667</v>
      </c>
      <c r="D9" s="17">
        <f>(((SQRT(D5)*$B$3)/SQRT(3))*$C$15)/$A9</f>
        <v>150.84944665313014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55.425625842204077</v>
      </c>
      <c r="C10" s="27">
        <f>(((SQRT(C5)*$B$3)/SQRT(3))*$C$15)/$A10</f>
        <v>96</v>
      </c>
      <c r="D10" s="27">
        <f>(((SQRT(D5)*$B$3)/SQRT(3))*$C$15)/$A10</f>
        <v>135.76450198781714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71"/>
      <c r="E12" s="115"/>
    </row>
    <row r="13" spans="1:28" ht="18" thickBot="1" x14ac:dyDescent="0.35">
      <c r="A13" s="23" t="s">
        <v>57</v>
      </c>
      <c r="B13" s="25">
        <f>POWER(((SQRT(3)*$C$13)/$B$3),2)</f>
        <v>4.6874999999999991</v>
      </c>
      <c r="C13" s="26">
        <f>(B12*B14*B15)/60000</f>
        <v>0.5</v>
      </c>
      <c r="D13" s="172"/>
      <c r="E13" s="170"/>
    </row>
    <row r="14" spans="1:28" ht="18" thickBot="1" x14ac:dyDescent="0.35">
      <c r="A14" s="23" t="s">
        <v>58</v>
      </c>
      <c r="B14" s="9">
        <v>6</v>
      </c>
      <c r="D14" s="173"/>
      <c r="E14" s="115"/>
    </row>
    <row r="15" spans="1:28" ht="18" thickBot="1" x14ac:dyDescent="0.35">
      <c r="A15" s="23" t="s">
        <v>61</v>
      </c>
      <c r="B15" s="29">
        <v>25</v>
      </c>
      <c r="C15" s="26">
        <f>(60000/B15)</f>
        <v>2400</v>
      </c>
      <c r="D15" s="49"/>
      <c r="E15" s="115"/>
    </row>
  </sheetData>
  <sheetProtection algorithmName="SHA-512" hashValue="F7sRhUKVdThnFUSaYELWkUGRs9LOVUtd8tQnrrtJHA5KhOeuaHIfaGHPQ/d/5b+7DGxml5GIbO4Jbh1FA7DeoQ==" saltValue="EAX9m7XTGlTJEoqs4T9AxQ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6">
    <cfRule type="cellIs" dxfId="809" priority="15" operator="greaterThan">
      <formula>$B$12</formula>
    </cfRule>
  </conditionalFormatting>
  <conditionalFormatting sqref="C6">
    <cfRule type="cellIs" dxfId="808" priority="14" operator="greaterThan">
      <formula>$B$12</formula>
    </cfRule>
  </conditionalFormatting>
  <conditionalFormatting sqref="D6">
    <cfRule type="cellIs" dxfId="807" priority="13" operator="greaterThan">
      <formula>$B$12</formula>
    </cfRule>
  </conditionalFormatting>
  <conditionalFormatting sqref="B7">
    <cfRule type="cellIs" dxfId="806" priority="12" operator="greaterThan">
      <formula>$B$12</formula>
    </cfRule>
  </conditionalFormatting>
  <conditionalFormatting sqref="C7">
    <cfRule type="cellIs" dxfId="805" priority="11" operator="greaterThan">
      <formula>$B$12</formula>
    </cfRule>
  </conditionalFormatting>
  <conditionalFormatting sqref="D7">
    <cfRule type="cellIs" dxfId="804" priority="10" operator="greaterThan">
      <formula>$B$12</formula>
    </cfRule>
  </conditionalFormatting>
  <conditionalFormatting sqref="B8">
    <cfRule type="cellIs" dxfId="803" priority="9" operator="greaterThan">
      <formula>$B$12</formula>
    </cfRule>
  </conditionalFormatting>
  <conditionalFormatting sqref="B9">
    <cfRule type="cellIs" dxfId="802" priority="8" operator="greaterThan">
      <formula>$B$12</formula>
    </cfRule>
  </conditionalFormatting>
  <conditionalFormatting sqref="B10">
    <cfRule type="cellIs" dxfId="801" priority="7" operator="greaterThan">
      <formula>$B$12</formula>
    </cfRule>
  </conditionalFormatting>
  <conditionalFormatting sqref="C8">
    <cfRule type="cellIs" dxfId="800" priority="6" operator="greaterThan">
      <formula>$B$12</formula>
    </cfRule>
  </conditionalFormatting>
  <conditionalFormatting sqref="D8">
    <cfRule type="cellIs" dxfId="799" priority="5" operator="greaterThan">
      <formula>$B$12</formula>
    </cfRule>
  </conditionalFormatting>
  <conditionalFormatting sqref="C9">
    <cfRule type="cellIs" dxfId="798" priority="4" operator="greaterThan">
      <formula>$B$12</formula>
    </cfRule>
  </conditionalFormatting>
  <conditionalFormatting sqref="D9">
    <cfRule type="cellIs" dxfId="797" priority="3" operator="greaterThan">
      <formula>$B$12</formula>
    </cfRule>
  </conditionalFormatting>
  <conditionalFormatting sqref="C10">
    <cfRule type="cellIs" dxfId="796" priority="2" operator="greaterThan">
      <formula>$B$12</formula>
    </cfRule>
  </conditionalFormatting>
  <conditionalFormatting sqref="D10">
    <cfRule type="cellIs" dxfId="795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.109375" style="11" bestFit="1" customWidth="1"/>
    <col min="8" max="14" width="6.6640625" style="11" customWidth="1"/>
    <col min="15" max="20" width="6.6640625" style="12" customWidth="1"/>
    <col min="21" max="27" width="6.6640625" style="11" customWidth="1"/>
    <col min="28" max="28" width="7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6" t="s">
        <v>67</v>
      </c>
      <c r="B3" s="434">
        <v>2</v>
      </c>
      <c r="C3" s="434"/>
      <c r="D3" s="435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230.94010767585033</v>
      </c>
      <c r="C6" s="17">
        <f>(((SQRT(C5)*$B$3)/SQRT(3))*$C$15)/$A6</f>
        <v>400</v>
      </c>
      <c r="D6" s="17">
        <f>(((SQRT(D5)*$B$3)/SQRT(3))*$C$15)/$A6</f>
        <v>565.68542494923793</v>
      </c>
      <c r="F6" s="106" t="str">
        <f>_1638b</f>
        <v>Agrotop</v>
      </c>
      <c r="G6" s="106" t="str">
        <f>_1638c</f>
        <v>Airmix 110 05</v>
      </c>
      <c r="H6" s="132">
        <f>_1638h</f>
        <v>1</v>
      </c>
      <c r="I6" s="42" t="str">
        <f t="shared" ref="I6:I13" si="0">IF(H6="","","bis")</f>
        <v>bis</v>
      </c>
      <c r="J6" s="18">
        <f>_1638i</f>
        <v>6</v>
      </c>
      <c r="K6" s="20">
        <f t="shared" ref="K6:K13" si="1">(((SQRT($H6)*$B$3)/SQRT(3))*60000)/($B$12*$B$15)</f>
        <v>4.6188021535170067</v>
      </c>
      <c r="L6" s="42" t="str">
        <f t="shared" ref="L6:L13" si="2">IF(K6="","","bis")</f>
        <v>bis</v>
      </c>
      <c r="M6" s="18">
        <f t="shared" ref="M6:M13" si="3">(((SQRT($J6)*$B$3)/SQRT(3))*60000)/($B$12*$B$15)</f>
        <v>11.313708498984759</v>
      </c>
      <c r="N6" s="132">
        <f>_1638j</f>
        <v>1</v>
      </c>
      <c r="O6" s="42" t="str">
        <f t="shared" ref="O6:O13" si="4">IF(N6="","","bis")</f>
        <v>bis</v>
      </c>
      <c r="P6" s="18">
        <f>_1638k</f>
        <v>1.5</v>
      </c>
      <c r="Q6" s="20">
        <f t="shared" ref="Q6:Q13" si="5">(((SQRT($N6)*$B$3)/SQRT(3))*60000)/($B$12*$B$15)</f>
        <v>4.6188021535170067</v>
      </c>
      <c r="R6" s="42" t="str">
        <f t="shared" ref="R6:R13" si="6">IF(Q6="","","bis")</f>
        <v>bis</v>
      </c>
      <c r="S6" s="18">
        <f t="shared" ref="S6:S13" si="7">(((SQRT($P6)*$B$3)/SQRT(3))*60000)/($B$12*$B$15)</f>
        <v>5.6568542494923797</v>
      </c>
      <c r="T6" s="132">
        <f>_1638l</f>
        <v>1</v>
      </c>
      <c r="U6" s="42" t="str">
        <f t="shared" ref="U6:U13" si="8">IF(T6="","","bis")</f>
        <v>bis</v>
      </c>
      <c r="V6" s="18">
        <f>_1638m</f>
        <v>1</v>
      </c>
      <c r="W6" s="20">
        <f t="shared" ref="W6:W13" si="9">(((SQRT($T6)*$B$3)/SQRT(3))*60000)/($B$12*$B$15)</f>
        <v>4.6188021535170067</v>
      </c>
      <c r="X6" s="42" t="str">
        <f t="shared" ref="X6:X13" si="10">IF(W6="","","bis")</f>
        <v>bis</v>
      </c>
      <c r="Y6" s="19">
        <f t="shared" ref="Y6:Y13" si="11">(((SQRT($V6)*$B$3)/SQRT(3))*60000)/($B$12*$B$15)</f>
        <v>4.6188021535170067</v>
      </c>
      <c r="Z6" s="133">
        <f>_1638f</f>
        <v>1</v>
      </c>
      <c r="AA6" s="42" t="str">
        <f t="shared" ref="AA6:AA13" si="12">IF(Z6="","","bis")</f>
        <v>bis</v>
      </c>
      <c r="AB6" s="134">
        <f>_1638g</f>
        <v>6</v>
      </c>
    </row>
    <row r="7" spans="1:28" ht="18" thickBot="1" x14ac:dyDescent="0.35">
      <c r="A7" s="21">
        <v>7</v>
      </c>
      <c r="B7" s="17">
        <f>(((SQRT(B5)*$B$3)/SQRT(3))*$C$15)/$A7</f>
        <v>197.94866372215742</v>
      </c>
      <c r="C7" s="17">
        <f>(((SQRT(C5)*$B$3)/SQRT(3))*$C$15)/$A7</f>
        <v>342.85714285714283</v>
      </c>
      <c r="D7" s="17">
        <f>(((SQRT(D5)*$B$3)/SQRT(3))*$C$15)/$A7</f>
        <v>484.87322138506113</v>
      </c>
      <c r="F7" s="106" t="str">
        <f>_1795b</f>
        <v>TeeJet</v>
      </c>
      <c r="G7" s="106" t="str">
        <f>_1795c</f>
        <v>AIXR 110 05</v>
      </c>
      <c r="H7" s="132">
        <f>_1795h</f>
        <v>1</v>
      </c>
      <c r="I7" s="42" t="str">
        <f t="shared" si="0"/>
        <v>bis</v>
      </c>
      <c r="J7" s="18">
        <f>_1795i</f>
        <v>6</v>
      </c>
      <c r="K7" s="20">
        <f t="shared" si="1"/>
        <v>4.6188021535170067</v>
      </c>
      <c r="L7" s="42" t="str">
        <f t="shared" si="2"/>
        <v>bis</v>
      </c>
      <c r="M7" s="18">
        <f t="shared" si="3"/>
        <v>11.313708498984759</v>
      </c>
      <c r="N7" s="132">
        <f>_1795j</f>
        <v>1</v>
      </c>
      <c r="O7" s="42" t="str">
        <f t="shared" si="4"/>
        <v>bis</v>
      </c>
      <c r="P7" s="18">
        <f>_1795k</f>
        <v>2.5</v>
      </c>
      <c r="Q7" s="20">
        <f t="shared" si="5"/>
        <v>4.6188021535170067</v>
      </c>
      <c r="R7" s="42" t="str">
        <f t="shared" si="6"/>
        <v>bis</v>
      </c>
      <c r="S7" s="18">
        <f t="shared" si="7"/>
        <v>7.3029674334022161</v>
      </c>
      <c r="T7" s="132">
        <f>_1795l</f>
        <v>1</v>
      </c>
      <c r="U7" s="42" t="str">
        <f t="shared" si="8"/>
        <v>bis</v>
      </c>
      <c r="V7" s="18">
        <f>_1795m</f>
        <v>1.5</v>
      </c>
      <c r="W7" s="20">
        <f t="shared" si="9"/>
        <v>4.6188021535170067</v>
      </c>
      <c r="X7" s="42" t="str">
        <f t="shared" si="10"/>
        <v>bis</v>
      </c>
      <c r="Y7" s="18">
        <f t="shared" si="11"/>
        <v>5.6568542494923797</v>
      </c>
      <c r="Z7" s="133">
        <f>_1795f</f>
        <v>1</v>
      </c>
      <c r="AA7" s="42" t="str">
        <f t="shared" si="12"/>
        <v>bis</v>
      </c>
      <c r="AB7" s="134">
        <f>_1795g</f>
        <v>6</v>
      </c>
    </row>
    <row r="8" spans="1:28" ht="18" thickBot="1" x14ac:dyDescent="0.35">
      <c r="A8" s="21">
        <v>8</v>
      </c>
      <c r="B8" s="17">
        <f>(((SQRT(B5)*$B$3)/SQRT(3))*$C$15)/$A8</f>
        <v>173.20508075688775</v>
      </c>
      <c r="C8" s="17">
        <f>(((SQRT(C5)*$B$3)/SQRT(3))*1200)/$A8</f>
        <v>300</v>
      </c>
      <c r="D8" s="17">
        <f>(((SQRT(D5)*$B$3)/SQRT(3))*1200)/$A8</f>
        <v>424.26406871192847</v>
      </c>
      <c r="F8" s="106" t="str">
        <f>_1963b</f>
        <v>Lechler</v>
      </c>
      <c r="G8" s="106" t="str">
        <f>_1963c</f>
        <v>IDK 120 05</v>
      </c>
      <c r="H8" s="132">
        <f>_1963h</f>
        <v>1</v>
      </c>
      <c r="I8" s="42" t="str">
        <f t="shared" si="0"/>
        <v>bis</v>
      </c>
      <c r="J8" s="18">
        <f>_1963i</f>
        <v>4</v>
      </c>
      <c r="K8" s="20">
        <f t="shared" si="1"/>
        <v>4.6188021535170067</v>
      </c>
      <c r="L8" s="42" t="str">
        <f t="shared" si="2"/>
        <v>bis</v>
      </c>
      <c r="M8" s="18">
        <f t="shared" si="3"/>
        <v>9.2376043070340135</v>
      </c>
      <c r="N8" s="132">
        <f>_1963j</f>
        <v>1</v>
      </c>
      <c r="O8" s="42" t="str">
        <f t="shared" si="4"/>
        <v>bis</v>
      </c>
      <c r="P8" s="18">
        <f>_1963k</f>
        <v>1.5</v>
      </c>
      <c r="Q8" s="20">
        <f t="shared" si="5"/>
        <v>4.6188021535170067</v>
      </c>
      <c r="R8" s="42" t="str">
        <f t="shared" si="6"/>
        <v>bis</v>
      </c>
      <c r="S8" s="18">
        <f t="shared" si="7"/>
        <v>5.6568542494923797</v>
      </c>
      <c r="T8" s="132">
        <f>_1963l</f>
        <v>1</v>
      </c>
      <c r="U8" s="42" t="str">
        <f t="shared" si="8"/>
        <v>bis</v>
      </c>
      <c r="V8" s="18">
        <f>_1963m</f>
        <v>1</v>
      </c>
      <c r="W8" s="20">
        <f t="shared" si="9"/>
        <v>4.6188021535170067</v>
      </c>
      <c r="X8" s="42" t="str">
        <f t="shared" si="10"/>
        <v>bis</v>
      </c>
      <c r="Y8" s="18">
        <f t="shared" si="11"/>
        <v>4.6188021535170067</v>
      </c>
      <c r="Z8" s="133">
        <f>_1963f</f>
        <v>1</v>
      </c>
      <c r="AA8" s="42" t="str">
        <f t="shared" si="12"/>
        <v>bis</v>
      </c>
      <c r="AB8" s="134">
        <f>_1963g</f>
        <v>6</v>
      </c>
    </row>
    <row r="9" spans="1:28" ht="18" thickBot="1" x14ac:dyDescent="0.35">
      <c r="A9" s="21">
        <v>9</v>
      </c>
      <c r="B9" s="17">
        <f>(((SQRT(B5)*$B$3)/SQRT(3))*$C$15)/$A9</f>
        <v>153.96007178390022</v>
      </c>
      <c r="C9" s="17">
        <f>(((SQRT(C5)*$B$3)/SQRT(3))*$C$15)/$A9</f>
        <v>266.66666666666669</v>
      </c>
      <c r="D9" s="17">
        <f>(((SQRT(D5)*$B$3)/SQRT(3))*$C$15)/$A9</f>
        <v>377.1236166328253</v>
      </c>
      <c r="F9" s="106" t="str">
        <f>_1784b</f>
        <v>Hardi</v>
      </c>
      <c r="G9" s="106" t="str">
        <f>_1784c</f>
        <v>MiniDrift MD 05</v>
      </c>
      <c r="H9" s="132">
        <f>_1784h</f>
        <v>1</v>
      </c>
      <c r="I9" s="42" t="str">
        <f t="shared" si="0"/>
        <v>bis</v>
      </c>
      <c r="J9" s="18">
        <f>_1784i</f>
        <v>6</v>
      </c>
      <c r="K9" s="20">
        <f t="shared" si="1"/>
        <v>4.6188021535170067</v>
      </c>
      <c r="L9" s="42" t="str">
        <f t="shared" si="2"/>
        <v>bis</v>
      </c>
      <c r="M9" s="18">
        <f t="shared" si="3"/>
        <v>11.313708498984759</v>
      </c>
      <c r="N9" s="132">
        <f>_1784j</f>
        <v>1</v>
      </c>
      <c r="O9" s="42" t="str">
        <f t="shared" si="4"/>
        <v>bis</v>
      </c>
      <c r="P9" s="18">
        <f>_1784k</f>
        <v>1.5</v>
      </c>
      <c r="Q9" s="20">
        <f t="shared" si="5"/>
        <v>4.6188021535170067</v>
      </c>
      <c r="R9" s="42" t="str">
        <f t="shared" si="6"/>
        <v>bis</v>
      </c>
      <c r="S9" s="18">
        <f t="shared" si="7"/>
        <v>5.6568542494923797</v>
      </c>
      <c r="T9" s="132">
        <f>_1784l</f>
        <v>1</v>
      </c>
      <c r="U9" s="42" t="str">
        <f t="shared" si="8"/>
        <v>bis</v>
      </c>
      <c r="V9" s="18">
        <f>_1784m</f>
        <v>1</v>
      </c>
      <c r="W9" s="20">
        <f t="shared" si="9"/>
        <v>4.6188021535170067</v>
      </c>
      <c r="X9" s="42" t="str">
        <f t="shared" si="10"/>
        <v>bis</v>
      </c>
      <c r="Y9" s="18">
        <f t="shared" si="11"/>
        <v>4.6188021535170067</v>
      </c>
      <c r="Z9" s="133">
        <f>_1784f</f>
        <v>1</v>
      </c>
      <c r="AA9" s="42" t="str">
        <f t="shared" si="12"/>
        <v>bis</v>
      </c>
      <c r="AB9" s="134">
        <f>_1784g</f>
        <v>6</v>
      </c>
    </row>
    <row r="10" spans="1:28" ht="18" thickBot="1" x14ac:dyDescent="0.35">
      <c r="A10" s="22">
        <v>10</v>
      </c>
      <c r="B10" s="27">
        <f>(((SQRT(B5)*$B$3)/SQRT(3))*$C$15)/$A10</f>
        <v>138.5640646055102</v>
      </c>
      <c r="C10" s="27">
        <f>(((SQRT(C5)*$B$3)/SQRT(3))*$C$15)/$A10</f>
        <v>240</v>
      </c>
      <c r="D10" s="27">
        <f>(((SQRT(D5)*$B$3)/SQRT(3))*$C$15)/$A10</f>
        <v>339.41125496954277</v>
      </c>
      <c r="F10" s="106" t="str">
        <f>_2234b</f>
        <v>Hardi</v>
      </c>
      <c r="G10" s="106" t="str">
        <f>_2234c</f>
        <v>NanoDrift ND 05</v>
      </c>
      <c r="H10" s="132">
        <f>_2234h</f>
        <v>1</v>
      </c>
      <c r="I10" s="42" t="str">
        <f t="shared" si="0"/>
        <v>bis</v>
      </c>
      <c r="J10" s="18">
        <f>_2234i</f>
        <v>6</v>
      </c>
      <c r="K10" s="20">
        <f t="shared" si="1"/>
        <v>4.6188021535170067</v>
      </c>
      <c r="L10" s="42" t="str">
        <f t="shared" si="2"/>
        <v>bis</v>
      </c>
      <c r="M10" s="18">
        <f t="shared" si="3"/>
        <v>11.313708498984759</v>
      </c>
      <c r="N10" s="20">
        <f>_2234j</f>
        <v>1</v>
      </c>
      <c r="O10" s="42" t="str">
        <f t="shared" si="4"/>
        <v>bis</v>
      </c>
      <c r="P10" s="18">
        <f>_2234k</f>
        <v>2</v>
      </c>
      <c r="Q10" s="20">
        <f t="shared" si="5"/>
        <v>4.6188021535170067</v>
      </c>
      <c r="R10" s="42" t="str">
        <f t="shared" si="6"/>
        <v>bis</v>
      </c>
      <c r="S10" s="18">
        <f t="shared" si="7"/>
        <v>6.5319726474218092</v>
      </c>
      <c r="T10" s="20">
        <f>_2234l</f>
        <v>1</v>
      </c>
      <c r="U10" s="42" t="str">
        <f t="shared" si="8"/>
        <v>bis</v>
      </c>
      <c r="V10" s="18">
        <f>_2234M</f>
        <v>1</v>
      </c>
      <c r="W10" s="20">
        <f t="shared" si="9"/>
        <v>4.6188021535170067</v>
      </c>
      <c r="X10" s="42" t="str">
        <f t="shared" si="10"/>
        <v>bis</v>
      </c>
      <c r="Y10" s="18">
        <f t="shared" si="11"/>
        <v>4.6188021535170067</v>
      </c>
      <c r="Z10" s="133">
        <f>_2234f</f>
        <v>1</v>
      </c>
      <c r="AA10" s="42" t="str">
        <f t="shared" si="12"/>
        <v>bis</v>
      </c>
      <c r="AB10" s="134">
        <f>_2234g</f>
        <v>6</v>
      </c>
    </row>
    <row r="11" spans="1:28" ht="18" thickBot="1" x14ac:dyDescent="0.35">
      <c r="F11" s="106" t="str">
        <f>_1780b</f>
        <v>Hypro</v>
      </c>
      <c r="G11" s="106" t="str">
        <f>_1780c</f>
        <v>PSULDQ2005A</v>
      </c>
      <c r="H11" s="132">
        <f>_1780h</f>
        <v>2.5</v>
      </c>
      <c r="I11" s="42" t="str">
        <f t="shared" si="0"/>
        <v>bis</v>
      </c>
      <c r="J11" s="18">
        <f>_1780i</f>
        <v>8</v>
      </c>
      <c r="K11" s="20">
        <f t="shared" si="1"/>
        <v>7.3029674334022161</v>
      </c>
      <c r="L11" s="42" t="str">
        <f t="shared" si="2"/>
        <v>bis</v>
      </c>
      <c r="M11" s="18">
        <f t="shared" si="3"/>
        <v>13.063945294843618</v>
      </c>
      <c r="N11" s="20">
        <f>_1780j</f>
        <v>2.5</v>
      </c>
      <c r="O11" s="42" t="str">
        <f t="shared" si="4"/>
        <v>bis</v>
      </c>
      <c r="P11" s="18">
        <f>_1780k</f>
        <v>8</v>
      </c>
      <c r="Q11" s="20">
        <f t="shared" si="5"/>
        <v>7.3029674334022161</v>
      </c>
      <c r="R11" s="42" t="str">
        <f t="shared" si="6"/>
        <v>bis</v>
      </c>
      <c r="S11" s="18">
        <f t="shared" si="7"/>
        <v>13.063945294843618</v>
      </c>
      <c r="T11" s="20">
        <f>_1780l</f>
        <v>2.5</v>
      </c>
      <c r="U11" s="42" t="str">
        <f t="shared" si="8"/>
        <v>bis</v>
      </c>
      <c r="V11" s="18">
        <f>_1780m</f>
        <v>8</v>
      </c>
      <c r="W11" s="20">
        <f t="shared" si="9"/>
        <v>7.3029674334022161</v>
      </c>
      <c r="X11" s="42" t="str">
        <f t="shared" si="10"/>
        <v>bis</v>
      </c>
      <c r="Y11" s="18">
        <f t="shared" si="11"/>
        <v>13.063945294843618</v>
      </c>
      <c r="Z11" s="133">
        <f>_1780f</f>
        <v>2.5</v>
      </c>
      <c r="AA11" s="42" t="str">
        <f t="shared" si="12"/>
        <v>bis</v>
      </c>
      <c r="AB11" s="134">
        <f>_1780g</f>
        <v>8</v>
      </c>
    </row>
    <row r="12" spans="1:28" ht="18" thickBot="1" x14ac:dyDescent="0.35">
      <c r="A12" s="23" t="s">
        <v>56</v>
      </c>
      <c r="B12" s="8">
        <v>300</v>
      </c>
      <c r="C12" s="24"/>
      <c r="D12" s="167">
        <f>Tabelle1!A2</f>
        <v>200</v>
      </c>
      <c r="F12" s="106"/>
      <c r="G12" s="106"/>
      <c r="H12" s="132"/>
      <c r="I12" s="42" t="str">
        <f t="shared" si="0"/>
        <v/>
      </c>
      <c r="J12" s="18"/>
      <c r="K12" s="20">
        <f t="shared" si="1"/>
        <v>0</v>
      </c>
      <c r="L12" s="42" t="str">
        <f t="shared" si="2"/>
        <v>bis</v>
      </c>
      <c r="M12" s="18">
        <f t="shared" si="3"/>
        <v>0</v>
      </c>
      <c r="N12" s="20"/>
      <c r="O12" s="42" t="str">
        <f t="shared" si="4"/>
        <v/>
      </c>
      <c r="P12" s="18"/>
      <c r="Q12" s="20">
        <f t="shared" si="5"/>
        <v>0</v>
      </c>
      <c r="R12" s="42" t="str">
        <f t="shared" si="6"/>
        <v>bis</v>
      </c>
      <c r="S12" s="18">
        <f t="shared" si="7"/>
        <v>0</v>
      </c>
      <c r="T12" s="20"/>
      <c r="U12" s="42" t="str">
        <f t="shared" si="8"/>
        <v/>
      </c>
      <c r="V12" s="18"/>
      <c r="W12" s="20">
        <f t="shared" si="9"/>
        <v>0</v>
      </c>
      <c r="X12" s="42" t="str">
        <f t="shared" si="10"/>
        <v>bis</v>
      </c>
      <c r="Y12" s="18">
        <f t="shared" si="11"/>
        <v>0</v>
      </c>
      <c r="Z12" s="133"/>
      <c r="AA12" s="42" t="str">
        <f t="shared" si="12"/>
        <v/>
      </c>
      <c r="AB12" s="134"/>
    </row>
    <row r="13" spans="1:28" ht="18" thickBot="1" x14ac:dyDescent="0.35">
      <c r="A13" s="23" t="s">
        <v>57</v>
      </c>
      <c r="B13" s="25">
        <f>POWER(((SQRT(3)*$C$13)/$B$3),2)</f>
        <v>2.6367187499999996</v>
      </c>
      <c r="C13" s="26">
        <f>(B12*B14*B15)/60000</f>
        <v>1.875</v>
      </c>
      <c r="D13" s="25">
        <f>POWER(((SQRT(3)*$E$13)/$B$3),2)</f>
        <v>6.020833333333333</v>
      </c>
      <c r="E13" s="26">
        <f>(D12*D14*D15)/60000</f>
        <v>2.8333333333333335</v>
      </c>
      <c r="F13" s="106"/>
      <c r="G13" s="106"/>
      <c r="H13" s="132"/>
      <c r="I13" s="42" t="str">
        <f t="shared" si="0"/>
        <v/>
      </c>
      <c r="J13" s="18"/>
      <c r="K13" s="20">
        <f t="shared" si="1"/>
        <v>0</v>
      </c>
      <c r="L13" s="42" t="str">
        <f t="shared" si="2"/>
        <v>bis</v>
      </c>
      <c r="M13" s="18">
        <f t="shared" si="3"/>
        <v>0</v>
      </c>
      <c r="N13" s="20"/>
      <c r="O13" s="42" t="str">
        <f t="shared" si="4"/>
        <v/>
      </c>
      <c r="P13" s="18"/>
      <c r="Q13" s="20">
        <f t="shared" si="5"/>
        <v>0</v>
      </c>
      <c r="R13" s="42" t="str">
        <f t="shared" si="6"/>
        <v>bis</v>
      </c>
      <c r="S13" s="18">
        <f t="shared" si="7"/>
        <v>0</v>
      </c>
      <c r="T13" s="20"/>
      <c r="U13" s="42" t="str">
        <f t="shared" si="8"/>
        <v/>
      </c>
      <c r="V13" s="18"/>
      <c r="W13" s="20">
        <f t="shared" si="9"/>
        <v>0</v>
      </c>
      <c r="X13" s="42" t="str">
        <f t="shared" si="10"/>
        <v>bis</v>
      </c>
      <c r="Y13" s="18">
        <f t="shared" si="11"/>
        <v>0</v>
      </c>
      <c r="Z13" s="133"/>
      <c r="AA13" s="42" t="str">
        <f t="shared" si="12"/>
        <v/>
      </c>
      <c r="AB13" s="134"/>
    </row>
    <row r="14" spans="1:28" ht="18" thickBot="1" x14ac:dyDescent="0.35">
      <c r="A14" s="23" t="s">
        <v>58</v>
      </c>
      <c r="B14" s="9">
        <v>7.5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0tdVm23sX48EAuVTlfAWn9YRnAxg7EaLzR9XrPXpVzGBJgYYn6PAraxuYsbQS7RkIFSk/7rGX+ARpDSlDm0Reg==" saltValue="dYfMusQrT7tP2L10qvvmMw==" spinCount="100000" sheet="1" objects="1" scenarios="1"/>
  <mergeCells count="11">
    <mergeCell ref="Z4:AB5"/>
    <mergeCell ref="H5:J5"/>
    <mergeCell ref="K5:M5"/>
    <mergeCell ref="N5:P5"/>
    <mergeCell ref="Q5:S5"/>
    <mergeCell ref="T5:V5"/>
    <mergeCell ref="B3:D3"/>
    <mergeCell ref="W5:Y5"/>
    <mergeCell ref="H4:M4"/>
    <mergeCell ref="N4:S4"/>
    <mergeCell ref="T4:Y4"/>
  </mergeCells>
  <conditionalFormatting sqref="B9">
    <cfRule type="cellIs" dxfId="261" priority="8" operator="greaterThan">
      <formula>$B$12</formula>
    </cfRule>
  </conditionalFormatting>
  <conditionalFormatting sqref="C6">
    <cfRule type="cellIs" dxfId="260" priority="14" operator="greaterThan">
      <formula>$B$12</formula>
    </cfRule>
  </conditionalFormatting>
  <conditionalFormatting sqref="B6">
    <cfRule type="cellIs" dxfId="259" priority="15" operator="greaterThan">
      <formula>$B$12</formula>
    </cfRule>
  </conditionalFormatting>
  <conditionalFormatting sqref="B7">
    <cfRule type="cellIs" dxfId="258" priority="12" operator="greaterThan">
      <formula>$B$12</formula>
    </cfRule>
  </conditionalFormatting>
  <conditionalFormatting sqref="D10">
    <cfRule type="cellIs" dxfId="257" priority="1" operator="greaterThan">
      <formula>$B$12</formula>
    </cfRule>
  </conditionalFormatting>
  <conditionalFormatting sqref="D6">
    <cfRule type="cellIs" dxfId="256" priority="13" operator="greaterThan">
      <formula>$B$12</formula>
    </cfRule>
  </conditionalFormatting>
  <conditionalFormatting sqref="C7">
    <cfRule type="cellIs" dxfId="255" priority="11" operator="greaterThan">
      <formula>$B$12</formula>
    </cfRule>
  </conditionalFormatting>
  <conditionalFormatting sqref="D7">
    <cfRule type="cellIs" dxfId="254" priority="10" operator="greaterThan">
      <formula>$B$12</formula>
    </cfRule>
  </conditionalFormatting>
  <conditionalFormatting sqref="B8">
    <cfRule type="cellIs" dxfId="253" priority="9" operator="greaterThan">
      <formula>$B$12</formula>
    </cfRule>
  </conditionalFormatting>
  <conditionalFormatting sqref="B10">
    <cfRule type="cellIs" dxfId="252" priority="7" operator="greaterThan">
      <formula>$B$12</formula>
    </cfRule>
  </conditionalFormatting>
  <conditionalFormatting sqref="C8">
    <cfRule type="cellIs" dxfId="251" priority="6" operator="greaterThan">
      <formula>$B$12</formula>
    </cfRule>
  </conditionalFormatting>
  <conditionalFormatting sqref="D8">
    <cfRule type="cellIs" dxfId="250" priority="5" operator="greaterThan">
      <formula>$B$12</formula>
    </cfRule>
  </conditionalFormatting>
  <conditionalFormatting sqref="C9">
    <cfRule type="cellIs" dxfId="249" priority="4" operator="greaterThan">
      <formula>$B$12</formula>
    </cfRule>
  </conditionalFormatting>
  <conditionalFormatting sqref="D9">
    <cfRule type="cellIs" dxfId="248" priority="3" operator="greaterThan">
      <formula>$B$12</formula>
    </cfRule>
  </conditionalFormatting>
  <conditionalFormatting sqref="C10">
    <cfRule type="cellIs" dxfId="24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2.6640625" style="1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6" t="s">
        <v>67</v>
      </c>
      <c r="B3" s="434">
        <v>2</v>
      </c>
      <c r="C3" s="434"/>
      <c r="D3" s="435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326.59863237109045</v>
      </c>
      <c r="C6" s="17">
        <f>(((SQRT(C5)*$B$3)/SQRT(3))*$C$15)/$A6</f>
        <v>516.39777949432232</v>
      </c>
      <c r="D6" s="17">
        <f>(((SQRT(D5)*$B$3)/SQRT(3))*$C$15)/$A6</f>
        <v>653.19726474218089</v>
      </c>
      <c r="F6" s="106" t="str">
        <f>_1613b</f>
        <v>TeeJet</v>
      </c>
      <c r="G6" s="106" t="str">
        <f>_1613c</f>
        <v>AI/AIC 110 05</v>
      </c>
      <c r="H6" s="132">
        <f>_1613h</f>
        <v>2</v>
      </c>
      <c r="I6" s="42" t="str">
        <f t="shared" ref="I6:I16" si="0">IF(H6="","","bis")</f>
        <v>bis</v>
      </c>
      <c r="J6" s="19">
        <f>_1613i</f>
        <v>5</v>
      </c>
      <c r="K6" s="20">
        <f t="shared" ref="K6:K16" si="1">(((SQRT($H6)*$B$3)/SQRT(3))*60000)/($B$12*$B$15)</f>
        <v>9.7979589711327133</v>
      </c>
      <c r="L6" s="42" t="str">
        <f t="shared" ref="L6:L16" si="2">IF(K6="","","bis")</f>
        <v>bis</v>
      </c>
      <c r="M6" s="18">
        <f t="shared" ref="M6:M16" si="3">(((SQRT($J6)*$B$3)/SQRT(3))*60000)/($B$12*$B$15)</f>
        <v>15.49193338482967</v>
      </c>
      <c r="N6" s="19">
        <f>_1613j</f>
        <v>2</v>
      </c>
      <c r="O6" s="42" t="str">
        <f t="shared" ref="O6:O16" si="4">IF(N6="","","bis")</f>
        <v>bis</v>
      </c>
      <c r="P6" s="18">
        <f>_1613k</f>
        <v>3</v>
      </c>
      <c r="Q6" s="20">
        <f t="shared" ref="Q6:Q16" si="5">(((SQRT($N6)*$B$3)/SQRT(3))*60000)/($B$12*$B$15)</f>
        <v>9.7979589711327133</v>
      </c>
      <c r="R6" s="42" t="str">
        <f t="shared" ref="R6:R16" si="6">IF(Q6="","","bis")</f>
        <v>bis</v>
      </c>
      <c r="S6" s="18">
        <f t="shared" ref="S6:S16" si="7">(((SQRT($P6)*$B$3)/SQRT(3))*60000)/($B$12*$B$15)</f>
        <v>12</v>
      </c>
      <c r="T6" s="20">
        <f>_1613l</f>
        <v>2</v>
      </c>
      <c r="U6" s="42" t="str">
        <f t="shared" ref="U6:U16" si="8">IF(T6="","","bis")</f>
        <v>bis</v>
      </c>
      <c r="V6" s="19">
        <f>_1613m</f>
        <v>2.5</v>
      </c>
      <c r="W6" s="20">
        <f t="shared" ref="W6:W16" si="9">(((SQRT($T6)*$B$3)/SQRT(3))*60000)/($B$12*$B$15)</f>
        <v>9.7979589711327133</v>
      </c>
      <c r="X6" s="42" t="str">
        <f t="shared" ref="X6:X16" si="10">IF(W6="","","bis")</f>
        <v>bis</v>
      </c>
      <c r="Y6" s="19">
        <f t="shared" ref="Y6:Y16" si="11">(((SQRT($V6)*$B$3)/SQRT(3))*60000)/($B$12*$B$15)</f>
        <v>10.954451150103324</v>
      </c>
      <c r="Z6" s="133">
        <f>_1613f</f>
        <v>2</v>
      </c>
      <c r="AA6" s="42" t="str">
        <f t="shared" ref="AA6:AA16" si="12">IF(Z6="","","bis")</f>
        <v>bis</v>
      </c>
      <c r="AB6" s="134">
        <f>_1613g</f>
        <v>8</v>
      </c>
    </row>
    <row r="7" spans="1:28" ht="18" thickBot="1" x14ac:dyDescent="0.35">
      <c r="A7" s="21">
        <v>7</v>
      </c>
      <c r="B7" s="17">
        <f>(((SQRT(B5)*$B$3)/SQRT(3))*$C$15)/$A7</f>
        <v>279.94168488950612</v>
      </c>
      <c r="C7" s="17">
        <f>(((SQRT(C5)*$B$3)/SQRT(3))*$C$15)/$A7</f>
        <v>442.62666813799058</v>
      </c>
      <c r="D7" s="17">
        <f>(((SQRT(D5)*$B$3)/SQRT(3))*$C$15)/$A7</f>
        <v>559.88336977901224</v>
      </c>
      <c r="F7" s="106" t="str">
        <f>_2295b</f>
        <v>Agrotop</v>
      </c>
      <c r="G7" s="106" t="str">
        <f>_2295c</f>
        <v>AVI-UC 110 05</v>
      </c>
      <c r="H7" s="132">
        <f>_2295h</f>
        <v>3</v>
      </c>
      <c r="I7" s="42" t="str">
        <f t="shared" si="0"/>
        <v>bis</v>
      </c>
      <c r="J7" s="19">
        <f>_2295i</f>
        <v>5</v>
      </c>
      <c r="K7" s="20">
        <f t="shared" si="1"/>
        <v>12</v>
      </c>
      <c r="L7" s="42" t="str">
        <f t="shared" si="2"/>
        <v>bis</v>
      </c>
      <c r="M7" s="18">
        <f t="shared" si="3"/>
        <v>15.49193338482967</v>
      </c>
      <c r="N7" s="19">
        <f>_2295j</f>
        <v>3</v>
      </c>
      <c r="O7" s="42" t="str">
        <f t="shared" si="4"/>
        <v>bis</v>
      </c>
      <c r="P7" s="18">
        <f>_2295k</f>
        <v>5</v>
      </c>
      <c r="Q7" s="20">
        <f t="shared" si="5"/>
        <v>12</v>
      </c>
      <c r="R7" s="42" t="str">
        <f t="shared" si="6"/>
        <v>bis</v>
      </c>
      <c r="S7" s="18">
        <f t="shared" si="7"/>
        <v>15.49193338482967</v>
      </c>
      <c r="T7" s="20">
        <f>_2295l</f>
        <v>3</v>
      </c>
      <c r="U7" s="42" t="str">
        <f t="shared" si="8"/>
        <v>bis</v>
      </c>
      <c r="V7" s="19">
        <f>_2295m</f>
        <v>4</v>
      </c>
      <c r="W7" s="20">
        <f t="shared" si="9"/>
        <v>12</v>
      </c>
      <c r="X7" s="42" t="str">
        <f t="shared" si="10"/>
        <v>bis</v>
      </c>
      <c r="Y7" s="18">
        <f t="shared" si="11"/>
        <v>13.856406460551021</v>
      </c>
      <c r="Z7" s="133">
        <f>_2295f</f>
        <v>3</v>
      </c>
      <c r="AA7" s="42" t="str">
        <f t="shared" si="12"/>
        <v>bis</v>
      </c>
      <c r="AB7" s="134">
        <f>_2295g</f>
        <v>7</v>
      </c>
    </row>
    <row r="8" spans="1:28" ht="18" thickBot="1" x14ac:dyDescent="0.35">
      <c r="A8" s="21">
        <v>8</v>
      </c>
      <c r="B8" s="17">
        <f>(((SQRT(B5)*$B$3)/SQRT(3))*$C$15)/$A8</f>
        <v>244.94897427831785</v>
      </c>
      <c r="C8" s="17">
        <f>(((SQRT(C5)*$B$3)/SQRT(3))*1200)/$A8</f>
        <v>387.29833462074174</v>
      </c>
      <c r="D8" s="17">
        <f>(((SQRT(D5)*$B$3)/SQRT(3))*1200)/$A8</f>
        <v>489.8979485566357</v>
      </c>
      <c r="F8" s="106" t="str">
        <f>_1966b</f>
        <v>Lechler</v>
      </c>
      <c r="G8" s="106" t="str">
        <f>_1966c</f>
        <v>ID (3) 120 05</v>
      </c>
      <c r="H8" s="132">
        <f>_1966h</f>
        <v>2</v>
      </c>
      <c r="I8" s="42" t="str">
        <f t="shared" si="0"/>
        <v>bis</v>
      </c>
      <c r="J8" s="19">
        <f>_1966i</f>
        <v>5</v>
      </c>
      <c r="K8" s="20">
        <f t="shared" si="1"/>
        <v>9.7979589711327133</v>
      </c>
      <c r="L8" s="42" t="str">
        <f t="shared" si="2"/>
        <v>bis</v>
      </c>
      <c r="M8" s="18">
        <f t="shared" si="3"/>
        <v>15.49193338482967</v>
      </c>
      <c r="N8" s="19">
        <f>_1966j</f>
        <v>2</v>
      </c>
      <c r="O8" s="42" t="str">
        <f t="shared" si="4"/>
        <v>bis</v>
      </c>
      <c r="P8" s="18">
        <f>_1966k</f>
        <v>3</v>
      </c>
      <c r="Q8" s="20">
        <f t="shared" si="5"/>
        <v>9.7979589711327133</v>
      </c>
      <c r="R8" s="42" t="str">
        <f t="shared" si="6"/>
        <v>bis</v>
      </c>
      <c r="S8" s="18">
        <f t="shared" si="7"/>
        <v>12</v>
      </c>
      <c r="T8" s="20">
        <f>_1966l</f>
        <v>2</v>
      </c>
      <c r="U8" s="42" t="str">
        <f t="shared" si="8"/>
        <v>bis</v>
      </c>
      <c r="V8" s="19">
        <f>_1966m</f>
        <v>3</v>
      </c>
      <c r="W8" s="20">
        <f t="shared" si="9"/>
        <v>9.7979589711327133</v>
      </c>
      <c r="X8" s="42" t="str">
        <f t="shared" si="10"/>
        <v>bis</v>
      </c>
      <c r="Y8" s="18">
        <f t="shared" si="11"/>
        <v>12</v>
      </c>
      <c r="Z8" s="133">
        <f>_1966f</f>
        <v>2</v>
      </c>
      <c r="AA8" s="42" t="str">
        <f t="shared" si="12"/>
        <v>bis</v>
      </c>
      <c r="AB8" s="134">
        <f>_1966g</f>
        <v>8</v>
      </c>
    </row>
    <row r="9" spans="1:28" ht="18" thickBot="1" x14ac:dyDescent="0.35">
      <c r="A9" s="21">
        <v>9</v>
      </c>
      <c r="B9" s="17">
        <f>(((SQRT(B5)*$B$3)/SQRT(3))*$C$15)/$A9</f>
        <v>217.73242158072696</v>
      </c>
      <c r="C9" s="17">
        <f>(((SQRT(C5)*$B$3)/SQRT(3))*$C$15)/$A9</f>
        <v>344.26518632954821</v>
      </c>
      <c r="D9" s="17">
        <f>(((SQRT(D5)*$B$3)/SQRT(3))*$C$15)/$A9</f>
        <v>435.46484316145393</v>
      </c>
      <c r="F9" s="106" t="str">
        <f>_2207b</f>
        <v>Lechler</v>
      </c>
      <c r="G9" s="106" t="str">
        <f>_2207c</f>
        <v>PSULDCQ2005</v>
      </c>
      <c r="H9" s="132">
        <f>_2207h</f>
        <v>2</v>
      </c>
      <c r="I9" s="42" t="str">
        <f t="shared" si="0"/>
        <v>bis</v>
      </c>
      <c r="J9" s="18">
        <f>_2207i</f>
        <v>8</v>
      </c>
      <c r="K9" s="20">
        <f t="shared" si="1"/>
        <v>9.7979589711327133</v>
      </c>
      <c r="L9" s="42" t="str">
        <f t="shared" si="2"/>
        <v>bis</v>
      </c>
      <c r="M9" s="18">
        <f t="shared" si="3"/>
        <v>19.595917942265427</v>
      </c>
      <c r="N9" s="20">
        <f>_2207j</f>
        <v>2</v>
      </c>
      <c r="O9" s="42" t="str">
        <f t="shared" si="4"/>
        <v>bis</v>
      </c>
      <c r="P9" s="18">
        <f>_2207k</f>
        <v>8</v>
      </c>
      <c r="Q9" s="20">
        <f t="shared" si="5"/>
        <v>9.7979589711327133</v>
      </c>
      <c r="R9" s="42" t="str">
        <f t="shared" si="6"/>
        <v>bis</v>
      </c>
      <c r="S9" s="18">
        <f t="shared" si="7"/>
        <v>19.595917942265427</v>
      </c>
      <c r="T9" s="20">
        <f>_2207l</f>
        <v>2</v>
      </c>
      <c r="U9" s="42" t="str">
        <f t="shared" si="8"/>
        <v>bis</v>
      </c>
      <c r="V9" s="19">
        <f>_2207m</f>
        <v>4</v>
      </c>
      <c r="W9" s="20">
        <f t="shared" si="9"/>
        <v>9.7979589711327133</v>
      </c>
      <c r="X9" s="42" t="str">
        <f t="shared" si="10"/>
        <v>bis</v>
      </c>
      <c r="Y9" s="18">
        <f t="shared" si="11"/>
        <v>13.856406460551021</v>
      </c>
      <c r="Z9" s="133">
        <f>_2207f</f>
        <v>2</v>
      </c>
      <c r="AA9" s="42" t="str">
        <f t="shared" si="12"/>
        <v>bis</v>
      </c>
      <c r="AB9" s="134">
        <f>_2207g</f>
        <v>8</v>
      </c>
    </row>
    <row r="10" spans="1:28" ht="18" thickBot="1" x14ac:dyDescent="0.35">
      <c r="A10" s="22">
        <v>10</v>
      </c>
      <c r="B10" s="27">
        <f>(((SQRT(B5)*$B$3)/SQRT(3))*$C$15)/$A10</f>
        <v>195.95917942265427</v>
      </c>
      <c r="C10" s="27">
        <f>(((SQRT(C5)*$B$3)/SQRT(3))*$C$15)/$A10</f>
        <v>309.8386676965934</v>
      </c>
      <c r="D10" s="27">
        <f>(((SQRT(D5)*$B$3)/SQRT(3))*$C$15)/$A10</f>
        <v>391.91835884530855</v>
      </c>
      <c r="F10" s="106" t="str">
        <f>_1780b</f>
        <v>Hypro</v>
      </c>
      <c r="G10" s="106" t="str">
        <f>_1780c</f>
        <v>PSULDQ2005A</v>
      </c>
      <c r="H10" s="132">
        <f>_1780h</f>
        <v>2.5</v>
      </c>
      <c r="I10" s="42" t="str">
        <f t="shared" si="0"/>
        <v>bis</v>
      </c>
      <c r="J10" s="18">
        <f>_1780i</f>
        <v>8</v>
      </c>
      <c r="K10" s="20">
        <f t="shared" si="1"/>
        <v>10.954451150103324</v>
      </c>
      <c r="L10" s="42" t="str">
        <f t="shared" si="2"/>
        <v>bis</v>
      </c>
      <c r="M10" s="18">
        <f t="shared" si="3"/>
        <v>19.595917942265427</v>
      </c>
      <c r="N10" s="20">
        <f>_1780j</f>
        <v>2.5</v>
      </c>
      <c r="O10" s="42" t="str">
        <f t="shared" si="4"/>
        <v>bis</v>
      </c>
      <c r="P10" s="18">
        <f>_1780k</f>
        <v>8</v>
      </c>
      <c r="Q10" s="20">
        <f t="shared" si="5"/>
        <v>10.954451150103324</v>
      </c>
      <c r="R10" s="42" t="str">
        <f t="shared" si="6"/>
        <v>bis</v>
      </c>
      <c r="S10" s="18">
        <f t="shared" si="7"/>
        <v>19.595917942265427</v>
      </c>
      <c r="T10" s="20">
        <f>_1780l</f>
        <v>2.5</v>
      </c>
      <c r="U10" s="42" t="str">
        <f t="shared" si="8"/>
        <v>bis</v>
      </c>
      <c r="V10" s="18">
        <f>_1780m</f>
        <v>8</v>
      </c>
      <c r="W10" s="20">
        <f t="shared" si="9"/>
        <v>10.954451150103324</v>
      </c>
      <c r="X10" s="42" t="str">
        <f t="shared" si="10"/>
        <v>bis</v>
      </c>
      <c r="Y10" s="18">
        <f t="shared" si="11"/>
        <v>19.595917942265427</v>
      </c>
      <c r="Z10" s="133">
        <f>_1780f</f>
        <v>2.5</v>
      </c>
      <c r="AA10" s="42" t="str">
        <f t="shared" si="12"/>
        <v>bis</v>
      </c>
      <c r="AB10" s="134">
        <f>_1780g</f>
        <v>8</v>
      </c>
    </row>
    <row r="11" spans="1:28" ht="18" thickBot="1" x14ac:dyDescent="0.35">
      <c r="F11" s="106" t="str">
        <f>_1740b</f>
        <v>TeeJet</v>
      </c>
      <c r="G11" s="106" t="str">
        <f>_1740c</f>
        <v>TTI 110 05</v>
      </c>
      <c r="H11" s="132">
        <f>_1740h</f>
        <v>1</v>
      </c>
      <c r="I11" s="42" t="str">
        <f t="shared" si="0"/>
        <v>bis</v>
      </c>
      <c r="J11" s="18">
        <f>_1740i</f>
        <v>5</v>
      </c>
      <c r="K11" s="20">
        <f t="shared" si="1"/>
        <v>6.9282032302755105</v>
      </c>
      <c r="L11" s="42" t="str">
        <f t="shared" si="2"/>
        <v>bis</v>
      </c>
      <c r="M11" s="18">
        <f t="shared" si="3"/>
        <v>15.49193338482967</v>
      </c>
      <c r="N11" s="20">
        <f>_1740j</f>
        <v>1</v>
      </c>
      <c r="O11" s="42" t="str">
        <f t="shared" si="4"/>
        <v>bis</v>
      </c>
      <c r="P11" s="18">
        <f>_1740k</f>
        <v>3</v>
      </c>
      <c r="Q11" s="20">
        <f t="shared" si="5"/>
        <v>6.9282032302755105</v>
      </c>
      <c r="R11" s="42" t="str">
        <f t="shared" si="6"/>
        <v>bis</v>
      </c>
      <c r="S11" s="18">
        <f t="shared" si="7"/>
        <v>12</v>
      </c>
      <c r="T11" s="20">
        <f>_1740l</f>
        <v>1</v>
      </c>
      <c r="U11" s="42" t="str">
        <f t="shared" si="8"/>
        <v>bis</v>
      </c>
      <c r="V11" s="18">
        <f>_1740m</f>
        <v>2</v>
      </c>
      <c r="W11" s="20">
        <f t="shared" si="9"/>
        <v>6.9282032302755105</v>
      </c>
      <c r="X11" s="42" t="str">
        <f t="shared" si="10"/>
        <v>bis</v>
      </c>
      <c r="Y11" s="18">
        <f t="shared" si="11"/>
        <v>9.7979589711327133</v>
      </c>
      <c r="Z11" s="133">
        <f>_1740f</f>
        <v>1</v>
      </c>
      <c r="AA11" s="42" t="str">
        <f t="shared" si="12"/>
        <v>bis</v>
      </c>
      <c r="AB11" s="134">
        <f>_1740g</f>
        <v>7</v>
      </c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  <c r="F12" s="106" t="str">
        <f>_b1780b</f>
        <v>Hypro</v>
      </c>
      <c r="G12" s="106" t="str">
        <f>_b1780c</f>
        <v>ULD 05</v>
      </c>
      <c r="H12" s="132">
        <f>_b1780h</f>
        <v>2.5</v>
      </c>
      <c r="I12" s="42" t="str">
        <f t="shared" si="0"/>
        <v>bis</v>
      </c>
      <c r="J12" s="18">
        <f>_b1780i</f>
        <v>8</v>
      </c>
      <c r="K12" s="20">
        <f t="shared" si="1"/>
        <v>10.954451150103324</v>
      </c>
      <c r="L12" s="42" t="str">
        <f t="shared" si="2"/>
        <v>bis</v>
      </c>
      <c r="M12" s="18">
        <f t="shared" si="3"/>
        <v>19.595917942265427</v>
      </c>
      <c r="N12" s="20">
        <f>_b1780j</f>
        <v>2.5</v>
      </c>
      <c r="O12" s="42" t="str">
        <f t="shared" si="4"/>
        <v>bis</v>
      </c>
      <c r="P12" s="18">
        <f>_b1780k</f>
        <v>8</v>
      </c>
      <c r="Q12" s="20">
        <f t="shared" si="5"/>
        <v>10.954451150103324</v>
      </c>
      <c r="R12" s="42" t="str">
        <f t="shared" si="6"/>
        <v>bis</v>
      </c>
      <c r="S12" s="18">
        <f t="shared" si="7"/>
        <v>19.595917942265427</v>
      </c>
      <c r="T12" s="20">
        <f>_b1780l</f>
        <v>2.5</v>
      </c>
      <c r="U12" s="42" t="str">
        <f t="shared" si="8"/>
        <v>bis</v>
      </c>
      <c r="V12" s="18">
        <f>_b1780m</f>
        <v>8</v>
      </c>
      <c r="W12" s="20">
        <f t="shared" si="9"/>
        <v>10.954451150103324</v>
      </c>
      <c r="X12" s="42" t="str">
        <f t="shared" si="10"/>
        <v>bis</v>
      </c>
      <c r="Y12" s="18">
        <f t="shared" si="11"/>
        <v>19.595917942265427</v>
      </c>
      <c r="Z12" s="133">
        <f>_b1780f</f>
        <v>2.5</v>
      </c>
      <c r="AA12" s="42" t="str">
        <f t="shared" si="12"/>
        <v>bis</v>
      </c>
      <c r="AB12" s="134">
        <f>_b1780g</f>
        <v>8</v>
      </c>
    </row>
    <row r="13" spans="1:28" ht="18" thickBot="1" x14ac:dyDescent="0.35">
      <c r="A13" s="23" t="s">
        <v>57</v>
      </c>
      <c r="B13" s="25">
        <f>POWER(((SQRT(3)*$C$13)/$B$3),2)</f>
        <v>0.52083333333333326</v>
      </c>
      <c r="C13" s="26">
        <f>(B12*B14*B15)/60000</f>
        <v>0.83333333333333337</v>
      </c>
      <c r="D13" s="25">
        <f>POWER(((SQRT(3)*$E$13)/$B$3),2)</f>
        <v>6.020833333333333</v>
      </c>
      <c r="E13" s="26">
        <f>(D12*D14*D15)/60000</f>
        <v>2.8333333333333335</v>
      </c>
      <c r="F13" s="106" t="str">
        <f>_2185b</f>
        <v>Wilger</v>
      </c>
      <c r="G13" s="106" t="str">
        <f>_2185c</f>
        <v>UR 110 05</v>
      </c>
      <c r="H13" s="132">
        <f>_2185h</f>
        <v>2</v>
      </c>
      <c r="I13" s="42" t="str">
        <f t="shared" si="0"/>
        <v>bis</v>
      </c>
      <c r="J13" s="18">
        <f>_2185i</f>
        <v>6</v>
      </c>
      <c r="K13" s="20">
        <f t="shared" si="1"/>
        <v>9.7979589711327133</v>
      </c>
      <c r="L13" s="42" t="str">
        <f t="shared" si="2"/>
        <v>bis</v>
      </c>
      <c r="M13" s="18">
        <f t="shared" si="3"/>
        <v>16.970562748477139</v>
      </c>
      <c r="N13" s="20">
        <f>_2185j</f>
        <v>2</v>
      </c>
      <c r="O13" s="42" t="str">
        <f t="shared" si="4"/>
        <v>bis</v>
      </c>
      <c r="P13" s="18">
        <f>_2185k</f>
        <v>4</v>
      </c>
      <c r="Q13" s="20">
        <f t="shared" si="5"/>
        <v>9.7979589711327133</v>
      </c>
      <c r="R13" s="42" t="str">
        <f t="shared" si="6"/>
        <v>bis</v>
      </c>
      <c r="S13" s="18">
        <f t="shared" si="7"/>
        <v>13.856406460551021</v>
      </c>
      <c r="T13" s="20">
        <f>_2185l</f>
        <v>2</v>
      </c>
      <c r="U13" s="42" t="str">
        <f t="shared" si="8"/>
        <v>bis</v>
      </c>
      <c r="V13" s="18">
        <f>_2185m</f>
        <v>2</v>
      </c>
      <c r="W13" s="20">
        <f t="shared" si="9"/>
        <v>9.7979589711327133</v>
      </c>
      <c r="X13" s="42" t="str">
        <f t="shared" si="10"/>
        <v>bis</v>
      </c>
      <c r="Y13" s="18">
        <f t="shared" si="11"/>
        <v>9.7979589711327133</v>
      </c>
      <c r="Z13" s="133">
        <f>_2185f</f>
        <v>2</v>
      </c>
      <c r="AA13" s="42" t="str">
        <f t="shared" si="12"/>
        <v>bis</v>
      </c>
      <c r="AB13" s="134">
        <f>_2185g</f>
        <v>6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  <c r="F14" s="106"/>
      <c r="G14" s="106"/>
      <c r="H14" s="132"/>
      <c r="I14" s="42" t="str">
        <f t="shared" si="0"/>
        <v/>
      </c>
      <c r="J14" s="18"/>
      <c r="K14" s="20">
        <f t="shared" si="1"/>
        <v>0</v>
      </c>
      <c r="L14" s="42" t="str">
        <f t="shared" si="2"/>
        <v>bis</v>
      </c>
      <c r="M14" s="18">
        <f t="shared" si="3"/>
        <v>0</v>
      </c>
      <c r="N14" s="20"/>
      <c r="O14" s="42" t="str">
        <f t="shared" si="4"/>
        <v/>
      </c>
      <c r="P14" s="18"/>
      <c r="Q14" s="20">
        <f t="shared" si="5"/>
        <v>0</v>
      </c>
      <c r="R14" s="42" t="str">
        <f t="shared" si="6"/>
        <v>bis</v>
      </c>
      <c r="S14" s="18">
        <f t="shared" si="7"/>
        <v>0</v>
      </c>
      <c r="T14" s="20"/>
      <c r="U14" s="42" t="str">
        <f t="shared" si="8"/>
        <v/>
      </c>
      <c r="V14" s="18"/>
      <c r="W14" s="20">
        <f t="shared" si="9"/>
        <v>0</v>
      </c>
      <c r="X14" s="42" t="str">
        <f t="shared" si="10"/>
        <v>bis</v>
      </c>
      <c r="Y14" s="18">
        <f t="shared" si="11"/>
        <v>0</v>
      </c>
      <c r="Z14" s="133"/>
      <c r="AA14" s="42" t="str">
        <f t="shared" si="12"/>
        <v/>
      </c>
      <c r="AB14" s="134"/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  <c r="F15" s="106"/>
      <c r="G15" s="106"/>
      <c r="H15" s="132"/>
      <c r="I15" s="42" t="str">
        <f t="shared" si="0"/>
        <v/>
      </c>
      <c r="J15" s="18"/>
      <c r="K15" s="20">
        <f t="shared" si="1"/>
        <v>0</v>
      </c>
      <c r="L15" s="42" t="str">
        <f t="shared" si="2"/>
        <v>bis</v>
      </c>
      <c r="M15" s="18">
        <f t="shared" si="3"/>
        <v>0</v>
      </c>
      <c r="N15" s="20"/>
      <c r="O15" s="42" t="str">
        <f t="shared" si="4"/>
        <v/>
      </c>
      <c r="P15" s="18"/>
      <c r="Q15" s="20">
        <f t="shared" si="5"/>
        <v>0</v>
      </c>
      <c r="R15" s="42" t="str">
        <f t="shared" si="6"/>
        <v>bis</v>
      </c>
      <c r="S15" s="18">
        <f t="shared" si="7"/>
        <v>0</v>
      </c>
      <c r="T15" s="20"/>
      <c r="U15" s="42" t="str">
        <f t="shared" si="8"/>
        <v/>
      </c>
      <c r="V15" s="18"/>
      <c r="W15" s="20">
        <f t="shared" si="9"/>
        <v>0</v>
      </c>
      <c r="X15" s="42" t="str">
        <f t="shared" si="10"/>
        <v>bis</v>
      </c>
      <c r="Y15" s="18">
        <f t="shared" si="11"/>
        <v>0</v>
      </c>
      <c r="Z15" s="133"/>
      <c r="AA15" s="42" t="str">
        <f t="shared" si="12"/>
        <v/>
      </c>
      <c r="AB15" s="134"/>
    </row>
    <row r="16" spans="1:28" ht="18" thickBot="1" x14ac:dyDescent="0.35">
      <c r="F16" s="106"/>
      <c r="G16" s="106"/>
      <c r="H16" s="132"/>
      <c r="I16" s="42" t="str">
        <f t="shared" si="0"/>
        <v/>
      </c>
      <c r="J16" s="18"/>
      <c r="K16" s="20">
        <f t="shared" si="1"/>
        <v>0</v>
      </c>
      <c r="L16" s="42" t="str">
        <f t="shared" si="2"/>
        <v>bis</v>
      </c>
      <c r="M16" s="18">
        <f t="shared" si="3"/>
        <v>0</v>
      </c>
      <c r="N16" s="20"/>
      <c r="O16" s="42" t="str">
        <f t="shared" si="4"/>
        <v/>
      </c>
      <c r="P16" s="18"/>
      <c r="Q16" s="20">
        <f t="shared" si="5"/>
        <v>0</v>
      </c>
      <c r="R16" s="42" t="str">
        <f t="shared" si="6"/>
        <v>bis</v>
      </c>
      <c r="S16" s="18">
        <f t="shared" si="7"/>
        <v>0</v>
      </c>
      <c r="T16" s="20"/>
      <c r="U16" s="42" t="str">
        <f t="shared" si="8"/>
        <v/>
      </c>
      <c r="V16" s="18"/>
      <c r="W16" s="20">
        <f t="shared" si="9"/>
        <v>0</v>
      </c>
      <c r="X16" s="42" t="str">
        <f t="shared" si="10"/>
        <v>bis</v>
      </c>
      <c r="Y16" s="18">
        <f t="shared" si="11"/>
        <v>0</v>
      </c>
      <c r="Z16" s="133"/>
      <c r="AA16" s="42" t="str">
        <f t="shared" si="12"/>
        <v/>
      </c>
      <c r="AB16" s="134"/>
    </row>
  </sheetData>
  <sheetProtection algorithmName="SHA-512" hashValue="Si7wrWjAzmpnxqnQEcwBr0lwnUsJB5KcEszmAuD1QG89SbiCVtGTqRDUqapRz+KhnsHEEG2WOhalLWbxl1yicA==" saltValue="fsbeFbtapQlp7Dewe7/++g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246" priority="8" operator="greaterThan">
      <formula>$B$12</formula>
    </cfRule>
  </conditionalFormatting>
  <conditionalFormatting sqref="C6">
    <cfRule type="cellIs" dxfId="245" priority="14" operator="greaterThan">
      <formula>$B$12</formula>
    </cfRule>
  </conditionalFormatting>
  <conditionalFormatting sqref="B6">
    <cfRule type="cellIs" dxfId="244" priority="15" operator="greaterThan">
      <formula>$B$12</formula>
    </cfRule>
  </conditionalFormatting>
  <conditionalFormatting sqref="B7">
    <cfRule type="cellIs" dxfId="243" priority="12" operator="greaterThan">
      <formula>$B$12</formula>
    </cfRule>
  </conditionalFormatting>
  <conditionalFormatting sqref="D10">
    <cfRule type="cellIs" dxfId="242" priority="1" operator="greaterThan">
      <formula>$B$12</formula>
    </cfRule>
  </conditionalFormatting>
  <conditionalFormatting sqref="D6">
    <cfRule type="cellIs" dxfId="241" priority="13" operator="greaterThan">
      <formula>$B$12</formula>
    </cfRule>
  </conditionalFormatting>
  <conditionalFormatting sqref="C7">
    <cfRule type="cellIs" dxfId="240" priority="11" operator="greaterThan">
      <formula>$B$12</formula>
    </cfRule>
  </conditionalFormatting>
  <conditionalFormatting sqref="D7">
    <cfRule type="cellIs" dxfId="239" priority="10" operator="greaterThan">
      <formula>$B$12</formula>
    </cfRule>
  </conditionalFormatting>
  <conditionalFormatting sqref="B8">
    <cfRule type="cellIs" dxfId="238" priority="9" operator="greaterThan">
      <formula>$B$12</formula>
    </cfRule>
  </conditionalFormatting>
  <conditionalFormatting sqref="B10">
    <cfRule type="cellIs" dxfId="237" priority="7" operator="greaterThan">
      <formula>$B$12</formula>
    </cfRule>
  </conditionalFormatting>
  <conditionalFormatting sqref="C8">
    <cfRule type="cellIs" dxfId="236" priority="6" operator="greaterThan">
      <formula>$B$12</formula>
    </cfRule>
  </conditionalFormatting>
  <conditionalFormatting sqref="D8">
    <cfRule type="cellIs" dxfId="235" priority="5" operator="greaterThan">
      <formula>$B$12</formula>
    </cfRule>
  </conditionalFormatting>
  <conditionalFormatting sqref="C9">
    <cfRule type="cellIs" dxfId="234" priority="4" operator="greaterThan">
      <formula>$B$12</formula>
    </cfRule>
  </conditionalFormatting>
  <conditionalFormatting sqref="D9">
    <cfRule type="cellIs" dxfId="233" priority="3" operator="greaterThan">
      <formula>$B$12</formula>
    </cfRule>
  </conditionalFormatting>
  <conditionalFormatting sqref="C10">
    <cfRule type="cellIs" dxfId="23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6.332031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6" t="s">
        <v>67</v>
      </c>
      <c r="B3" s="434">
        <v>2</v>
      </c>
      <c r="C3" s="434"/>
      <c r="D3" s="435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230.94010767585033</v>
      </c>
      <c r="C6" s="17">
        <f>(((SQRT(C5)*$B$3)/SQRT(3))*$C$15)/$A6</f>
        <v>400</v>
      </c>
      <c r="D6" s="17">
        <f>(((SQRT(D5)*$B$3)/SQRT(3))*$C$15)/$A6</f>
        <v>565.68542494923793</v>
      </c>
      <c r="F6" s="106" t="str">
        <f>_1884b</f>
        <v>Lechler</v>
      </c>
      <c r="G6" s="106" t="str">
        <f>_1884c</f>
        <v>IDKT 120 05</v>
      </c>
      <c r="H6" s="132">
        <f>_1884h</f>
        <v>1</v>
      </c>
      <c r="I6" s="42" t="str">
        <f>IF(H6="","","bis")</f>
        <v>bis</v>
      </c>
      <c r="J6" s="19">
        <f>_1884i</f>
        <v>3</v>
      </c>
      <c r="K6" s="20">
        <f>(((SQRT($H6)*$B$3)/SQRT(3))*60000)/($B$12*$B$15)</f>
        <v>6.9282032302755105</v>
      </c>
      <c r="L6" s="42" t="str">
        <f>IF(K6="","","bis")</f>
        <v>bis</v>
      </c>
      <c r="M6" s="18">
        <f>(((SQRT($J6)*$B$3)/SQRT(3))*60000)/($B$12*$B$15)</f>
        <v>12</v>
      </c>
      <c r="N6" s="19">
        <f>_1884j</f>
        <v>1</v>
      </c>
      <c r="O6" s="42" t="str">
        <f>IF(N6="","","bis")</f>
        <v>bis</v>
      </c>
      <c r="P6" s="18">
        <f>_1884k</f>
        <v>1.5</v>
      </c>
      <c r="Q6" s="20">
        <f>(((SQRT($N6)*$B$3)/SQRT(3))*60000)/($B$12*$B$15)</f>
        <v>6.9282032302755105</v>
      </c>
      <c r="R6" s="42" t="str">
        <f>IF(Q6="","","bis")</f>
        <v>bis</v>
      </c>
      <c r="S6" s="18">
        <f>(((SQRT($P6)*$B$3)/SQRT(3))*60000)/($B$12*$B$15)</f>
        <v>8.4852813742385695</v>
      </c>
      <c r="T6" s="20">
        <f>_1884l</f>
        <v>1</v>
      </c>
      <c r="U6" s="42" t="str">
        <f>IF(T6="","","bis")</f>
        <v>bis</v>
      </c>
      <c r="V6" s="19">
        <f>_1884m</f>
        <v>1</v>
      </c>
      <c r="W6" s="20">
        <f>(((SQRT($T6)*$B$3)/SQRT(3))*60000)/($B$12*$B$15)</f>
        <v>6.9282032302755105</v>
      </c>
      <c r="X6" s="42" t="str">
        <f>IF(W6="","","bis")</f>
        <v>bis</v>
      </c>
      <c r="Y6" s="19">
        <f>(((SQRT($V6)*$B$3)/SQRT(3))*60000)/($B$12*$B$15)</f>
        <v>6.9282032302755105</v>
      </c>
      <c r="Z6" s="133">
        <f>_1884f</f>
        <v>1</v>
      </c>
      <c r="AA6" s="42" t="str">
        <f>IF(Z6="","","bis")</f>
        <v>bis</v>
      </c>
      <c r="AB6" s="134">
        <f>_1884g</f>
        <v>6</v>
      </c>
    </row>
    <row r="7" spans="1:28" ht="18" thickBot="1" x14ac:dyDescent="0.35">
      <c r="A7" s="21">
        <v>7</v>
      </c>
      <c r="B7" s="17">
        <f>(((SQRT(B5)*$B$3)/SQRT(3))*$C$15)/$A7</f>
        <v>197.94866372215742</v>
      </c>
      <c r="C7" s="17">
        <f>(((SQRT(C5)*$B$3)/SQRT(3))*$C$15)/$A7</f>
        <v>342.85714285714283</v>
      </c>
      <c r="D7" s="17">
        <f>(((SQRT(D5)*$B$3)/SQRT(3))*$C$15)/$A7</f>
        <v>484.87322138506113</v>
      </c>
      <c r="F7" s="106" t="str">
        <f>_1836b</f>
        <v>Lechler</v>
      </c>
      <c r="G7" s="106" t="str">
        <f>_1836c</f>
        <v>IDKT 120 05 C</v>
      </c>
      <c r="H7" s="132">
        <f>_1836h</f>
        <v>1</v>
      </c>
      <c r="I7" s="42" t="str">
        <f>IF(H7="","","bis")</f>
        <v>bis</v>
      </c>
      <c r="J7" s="18">
        <f>_1836i</f>
        <v>4</v>
      </c>
      <c r="K7" s="20">
        <f>(((SQRT($H7)*$B$3)/SQRT(3))*60000)/($B$12*$B$15)</f>
        <v>6.9282032302755105</v>
      </c>
      <c r="L7" s="42" t="str">
        <f>IF(K7="","","bis")</f>
        <v>bis</v>
      </c>
      <c r="M7" s="18">
        <f>(((SQRT($J7)*$B$3)/SQRT(3))*60000)/($B$12*$B$15)</f>
        <v>13.856406460551021</v>
      </c>
      <c r="N7" s="20">
        <f>_1836j</f>
        <v>1</v>
      </c>
      <c r="O7" s="42" t="str">
        <f>IF(N7="","","bis")</f>
        <v>bis</v>
      </c>
      <c r="P7" s="18">
        <f>_1836k</f>
        <v>1.5</v>
      </c>
      <c r="Q7" s="20">
        <f>(((SQRT($N7)*$B$3)/SQRT(3))*60000)/($B$12*$B$15)</f>
        <v>6.9282032302755105</v>
      </c>
      <c r="R7" s="42" t="str">
        <f>IF(Q7="","","bis")</f>
        <v>bis</v>
      </c>
      <c r="S7" s="18">
        <f>(((SQRT($P7)*$B$3)/SQRT(3))*60000)/($B$12*$B$15)</f>
        <v>8.4852813742385695</v>
      </c>
      <c r="T7" s="20">
        <f>_1836l</f>
        <v>1</v>
      </c>
      <c r="U7" s="42" t="str">
        <f>IF(T7="","","bis")</f>
        <v>bis</v>
      </c>
      <c r="V7" s="18">
        <f>_1836m</f>
        <v>1</v>
      </c>
      <c r="W7" s="20">
        <f>(((SQRT($T7)*$B$3)/SQRT(3))*60000)/($B$12*$B$15)</f>
        <v>6.9282032302755105</v>
      </c>
      <c r="X7" s="42" t="str">
        <f>IF(W7="","","bis")</f>
        <v>bis</v>
      </c>
      <c r="Y7" s="18">
        <f>(((SQRT($V7)*$B$3)/SQRT(3))*60000)/($B$12*$B$15)</f>
        <v>6.9282032302755105</v>
      </c>
      <c r="Z7" s="133">
        <f>_1836f</f>
        <v>1</v>
      </c>
      <c r="AA7" s="42" t="str">
        <f>IF(Z7="","","bis")</f>
        <v>bis</v>
      </c>
      <c r="AB7" s="134">
        <f>_1836g</f>
        <v>6</v>
      </c>
    </row>
    <row r="8" spans="1:28" ht="18" thickBot="1" x14ac:dyDescent="0.35">
      <c r="A8" s="21">
        <v>8</v>
      </c>
      <c r="B8" s="17">
        <f>(((SQRT(B5)*$B$3)/SQRT(3))*$C$15)/$A8</f>
        <v>173.20508075688775</v>
      </c>
      <c r="C8" s="17">
        <f>(((SQRT(C5)*$B$3)/SQRT(3))*1200)/$A8</f>
        <v>300</v>
      </c>
      <c r="D8" s="17">
        <f>(((SQRT(D5)*$B$3)/SQRT(3))*1200)/$A8</f>
        <v>424.26406871192847</v>
      </c>
      <c r="F8" s="106" t="str">
        <f>_1909b</f>
        <v>Hardi</v>
      </c>
      <c r="G8" s="106" t="str">
        <f>_1909c</f>
        <v>MiniDrift Duo 110 05</v>
      </c>
      <c r="H8" s="132">
        <f>_1909h</f>
        <v>1</v>
      </c>
      <c r="I8" s="42" t="str">
        <f>IF(H8="","","bis")</f>
        <v>bis</v>
      </c>
      <c r="J8" s="18">
        <f>_1909i</f>
        <v>3</v>
      </c>
      <c r="K8" s="20">
        <f>(((SQRT($H8)*$B$3)/SQRT(3))*60000)/($B$12*$B$15)</f>
        <v>6.9282032302755105</v>
      </c>
      <c r="L8" s="42" t="str">
        <f>IF(K8="","","bis")</f>
        <v>bis</v>
      </c>
      <c r="M8" s="18">
        <f>(((SQRT($J8)*$B$3)/SQRT(3))*60000)/($B$12*$B$15)</f>
        <v>12</v>
      </c>
      <c r="N8" s="20">
        <f>_1909j</f>
        <v>1</v>
      </c>
      <c r="O8" s="42" t="str">
        <f>IF(N8="","","bis")</f>
        <v>bis</v>
      </c>
      <c r="P8" s="18">
        <f>_1909k</f>
        <v>1.5</v>
      </c>
      <c r="Q8" s="20">
        <f>(((SQRT($N8)*$B$3)/SQRT(3))*60000)/($B$12*$B$15)</f>
        <v>6.9282032302755105</v>
      </c>
      <c r="R8" s="42" t="str">
        <f>IF(Q8="","","bis")</f>
        <v>bis</v>
      </c>
      <c r="S8" s="18">
        <f>(((SQRT($P8)*$B$3)/SQRT(3))*60000)/($B$12*$B$15)</f>
        <v>8.4852813742385695</v>
      </c>
      <c r="T8" s="20">
        <f>_1909l</f>
        <v>1</v>
      </c>
      <c r="U8" s="42" t="str">
        <f>IF(T8="","","bis")</f>
        <v>bis</v>
      </c>
      <c r="V8" s="18">
        <f>_1909m</f>
        <v>1</v>
      </c>
      <c r="W8" s="20">
        <f>(((SQRT($T8)*$B$3)/SQRT(3))*60000)/($B$12*$B$15)</f>
        <v>6.9282032302755105</v>
      </c>
      <c r="X8" s="42" t="str">
        <f>IF(W8="","","bis")</f>
        <v>bis</v>
      </c>
      <c r="Y8" s="18">
        <f>(((SQRT($V8)*$B$3)/SQRT(3))*60000)/($B$12*$B$15)</f>
        <v>6.9282032302755105</v>
      </c>
      <c r="Z8" s="133">
        <f>_1909f</f>
        <v>1</v>
      </c>
      <c r="AA8" s="42" t="str">
        <f>IF(Z8="","","bis")</f>
        <v>bis</v>
      </c>
      <c r="AB8" s="134">
        <f>_1909g</f>
        <v>6</v>
      </c>
    </row>
    <row r="9" spans="1:28" ht="18" thickBot="1" x14ac:dyDescent="0.35">
      <c r="A9" s="21">
        <v>9</v>
      </c>
      <c r="B9" s="17">
        <f>(((SQRT(B5)*$B$3)/SQRT(3))*$C$15)/$A9</f>
        <v>153.96007178390022</v>
      </c>
      <c r="C9" s="17">
        <f>(((SQRT(C5)*$B$3)/SQRT(3))*$C$15)/$A9</f>
        <v>266.66666666666669</v>
      </c>
      <c r="D9" s="17">
        <f>(((SQRT(D5)*$B$3)/SQRT(3))*$C$15)/$A9</f>
        <v>377.1236166328253</v>
      </c>
      <c r="F9" s="106" t="str">
        <f>_2213b</f>
        <v>Lechler</v>
      </c>
      <c r="G9" s="106" t="str">
        <f>_2213c</f>
        <v>PSGATCQ2005</v>
      </c>
      <c r="H9" s="132">
        <f>_2213h</f>
        <v>1</v>
      </c>
      <c r="I9" s="42" t="str">
        <f>IF(H9="","","bis")</f>
        <v>bis</v>
      </c>
      <c r="J9" s="18">
        <f>_2213i</f>
        <v>4</v>
      </c>
      <c r="K9" s="20">
        <f>(((SQRT($H9)*$B$3)/SQRT(3))*60000)/($B$12*$B$15)</f>
        <v>6.9282032302755105</v>
      </c>
      <c r="L9" s="42" t="str">
        <f>IF(K9="","","bis")</f>
        <v>bis</v>
      </c>
      <c r="M9" s="18">
        <f>(((SQRT($J9)*$B$3)/SQRT(3))*60000)/($B$12*$B$15)</f>
        <v>13.856406460551021</v>
      </c>
      <c r="N9" s="20">
        <f>_2213j</f>
        <v>1</v>
      </c>
      <c r="O9" s="42" t="str">
        <f>IF(N9="","","bis")</f>
        <v>bis</v>
      </c>
      <c r="P9" s="18">
        <f>_2213k</f>
        <v>1.5</v>
      </c>
      <c r="Q9" s="20">
        <f>(((SQRT($N9)*$B$3)/SQRT(3))*60000)/($B$12*$B$15)</f>
        <v>6.9282032302755105</v>
      </c>
      <c r="R9" s="42" t="str">
        <f>IF(Q9="","","bis")</f>
        <v>bis</v>
      </c>
      <c r="S9" s="18">
        <f>(((SQRT($P9)*$B$3)/SQRT(3))*60000)/($B$12*$B$15)</f>
        <v>8.4852813742385695</v>
      </c>
      <c r="T9" s="20">
        <f>_2213l</f>
        <v>1</v>
      </c>
      <c r="U9" s="42" t="str">
        <f>IF(T9="","","bis")</f>
        <v>bis</v>
      </c>
      <c r="V9" s="19">
        <f>_2213m</f>
        <v>1</v>
      </c>
      <c r="W9" s="20">
        <f>(((SQRT($T9)*$B$3)/SQRT(3))*60000)/($B$12*$B$15)</f>
        <v>6.9282032302755105</v>
      </c>
      <c r="X9" s="42" t="str">
        <f>IF(W9="","","bis")</f>
        <v>bis</v>
      </c>
      <c r="Y9" s="18">
        <f>(((SQRT($V9)*$B$3)/SQRT(3))*60000)/($B$12*$B$15)</f>
        <v>6.9282032302755105</v>
      </c>
      <c r="Z9" s="133">
        <f>_2213f</f>
        <v>1</v>
      </c>
      <c r="AA9" s="42" t="str">
        <f>IF(Z9="","","bis")</f>
        <v>bis</v>
      </c>
      <c r="AB9" s="134">
        <f>_2213g</f>
        <v>6</v>
      </c>
    </row>
    <row r="10" spans="1:28" ht="18" thickBot="1" x14ac:dyDescent="0.35">
      <c r="A10" s="22">
        <v>10</v>
      </c>
      <c r="B10" s="27">
        <f>(((SQRT(B5)*$B$3)/SQRT(3))*$C$15)/$A10</f>
        <v>138.5640646055102</v>
      </c>
      <c r="C10" s="27">
        <f>(((SQRT(C5)*$B$3)/SQRT(3))*$C$15)/$A10</f>
        <v>240</v>
      </c>
      <c r="D10" s="27">
        <f>(((SQRT(D5)*$B$3)/SQRT(3))*$C$15)/$A10</f>
        <v>339.41125496954277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0.52083333333333326</v>
      </c>
      <c r="C13" s="26">
        <f>(B12*B14*B15)/60000</f>
        <v>0.83333333333333337</v>
      </c>
      <c r="D13" s="25">
        <f>POWER(((SQRT(3)*$E$13)/$B$3),2)</f>
        <v>6.020833333333333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Om8PW9LJuCdbeY4E41yZeYxKkEPuwdZg5tuRRKx137LAMHoh2SvBUxmz2BijMajAvOVHI/XAVIQAo5LOwt1qPQ==" saltValue="TdAuUf85P23J673+HosKhQ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231" priority="8" operator="greaterThan">
      <formula>$B$12</formula>
    </cfRule>
  </conditionalFormatting>
  <conditionalFormatting sqref="C6">
    <cfRule type="cellIs" dxfId="230" priority="14" operator="greaterThan">
      <formula>$B$12</formula>
    </cfRule>
  </conditionalFormatting>
  <conditionalFormatting sqref="B6">
    <cfRule type="cellIs" dxfId="229" priority="15" operator="greaterThan">
      <formula>$B$12</formula>
    </cfRule>
  </conditionalFormatting>
  <conditionalFormatting sqref="B7">
    <cfRule type="cellIs" dxfId="228" priority="12" operator="greaterThan">
      <formula>$B$12</formula>
    </cfRule>
  </conditionalFormatting>
  <conditionalFormatting sqref="D10">
    <cfRule type="cellIs" dxfId="227" priority="1" operator="greaterThan">
      <formula>$B$12</formula>
    </cfRule>
  </conditionalFormatting>
  <conditionalFormatting sqref="D6">
    <cfRule type="cellIs" dxfId="226" priority="13" operator="greaterThan">
      <formula>$B$12</formula>
    </cfRule>
  </conditionalFormatting>
  <conditionalFormatting sqref="C7">
    <cfRule type="cellIs" dxfId="225" priority="11" operator="greaterThan">
      <formula>$B$12</formula>
    </cfRule>
  </conditionalFormatting>
  <conditionalFormatting sqref="D7">
    <cfRule type="cellIs" dxfId="224" priority="10" operator="greaterThan">
      <formula>$B$12</formula>
    </cfRule>
  </conditionalFormatting>
  <conditionalFormatting sqref="B8">
    <cfRule type="cellIs" dxfId="223" priority="9" operator="greaterThan">
      <formula>$B$12</formula>
    </cfRule>
  </conditionalFormatting>
  <conditionalFormatting sqref="B10">
    <cfRule type="cellIs" dxfId="222" priority="7" operator="greaterThan">
      <formula>$B$12</formula>
    </cfRule>
  </conditionalFormatting>
  <conditionalFormatting sqref="C8">
    <cfRule type="cellIs" dxfId="221" priority="6" operator="greaterThan">
      <formula>$B$12</formula>
    </cfRule>
  </conditionalFormatting>
  <conditionalFormatting sqref="D8">
    <cfRule type="cellIs" dxfId="220" priority="5" operator="greaterThan">
      <formula>$B$12</formula>
    </cfRule>
  </conditionalFormatting>
  <conditionalFormatting sqref="C9">
    <cfRule type="cellIs" dxfId="219" priority="4" operator="greaterThan">
      <formula>$B$12</formula>
    </cfRule>
  </conditionalFormatting>
  <conditionalFormatting sqref="D9">
    <cfRule type="cellIs" dxfId="218" priority="3" operator="greaterThan">
      <formula>$B$12</formula>
    </cfRule>
  </conditionalFormatting>
  <conditionalFormatting sqref="C10">
    <cfRule type="cellIs" dxfId="21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6" style="11" bestFit="1" customWidth="1"/>
    <col min="8" max="14" width="6.6640625" style="11" customWidth="1"/>
    <col min="15" max="20" width="6.6640625" style="12" customWidth="1"/>
    <col min="21" max="34" width="6.6640625" style="11" customWidth="1"/>
    <col min="35" max="16384" width="11.44140625" style="11"/>
  </cols>
  <sheetData>
    <row r="1" spans="1:34" x14ac:dyDescent="0.3">
      <c r="A1" s="10"/>
    </row>
    <row r="2" spans="1:34" ht="18" thickBot="1" x14ac:dyDescent="0.35"/>
    <row r="3" spans="1:34" ht="18" thickBot="1" x14ac:dyDescent="0.35">
      <c r="A3" s="36" t="s">
        <v>67</v>
      </c>
      <c r="B3" s="434">
        <v>2</v>
      </c>
      <c r="C3" s="434"/>
      <c r="D3" s="435"/>
    </row>
    <row r="4" spans="1:34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411">
        <v>0.95</v>
      </c>
      <c r="AA4" s="412"/>
      <c r="AB4" s="412"/>
      <c r="AC4" s="412"/>
      <c r="AD4" s="412"/>
      <c r="AE4" s="413"/>
      <c r="AF4" s="391" t="s">
        <v>53</v>
      </c>
      <c r="AG4" s="392"/>
      <c r="AH4" s="393"/>
    </row>
    <row r="5" spans="1:34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414" t="s">
        <v>14</v>
      </c>
      <c r="AA5" s="415"/>
      <c r="AB5" s="416"/>
      <c r="AC5" s="414" t="s">
        <v>55</v>
      </c>
      <c r="AD5" s="415"/>
      <c r="AE5" s="416"/>
      <c r="AF5" s="394"/>
      <c r="AG5" s="395"/>
      <c r="AH5" s="396"/>
    </row>
    <row r="6" spans="1:34" ht="18" thickBot="1" x14ac:dyDescent="0.35">
      <c r="A6" s="16">
        <v>6</v>
      </c>
      <c r="B6" s="17">
        <f>(((SQRT(B5)*$B$3)/SQRT(3))*$C$15)/$A6</f>
        <v>326.59863237109045</v>
      </c>
      <c r="C6" s="17">
        <f>(((SQRT(C5)*$B$3)/SQRT(3))*$C$15)/$A6</f>
        <v>516.39777949432232</v>
      </c>
      <c r="D6" s="17">
        <f>(((SQRT(D5)*$B$3)/SQRT(3))*$C$15)/$A6</f>
        <v>653.19726474218089</v>
      </c>
      <c r="F6" s="106" t="str">
        <f>_2200b</f>
        <v>TeeJet</v>
      </c>
      <c r="G6" s="106" t="str">
        <f>_2200c</f>
        <v>AITTJ60 110 05 VP</v>
      </c>
      <c r="H6" s="132">
        <f>_2200h</f>
        <v>1.5</v>
      </c>
      <c r="I6" s="42" t="str">
        <f>IF(H6="","","bis")</f>
        <v>bis</v>
      </c>
      <c r="J6" s="19">
        <f>_2200i</f>
        <v>5</v>
      </c>
      <c r="K6" s="20">
        <f>(((SQRT($H6)*$B$3)/SQRT(3))*60000)/($B$12*$B$15)</f>
        <v>4.2426406871192848</v>
      </c>
      <c r="L6" s="42" t="str">
        <f>IF(K6="","","bis")</f>
        <v>bis</v>
      </c>
      <c r="M6" s="18">
        <f>(((SQRT($J6)*$B$3)/SQRT(3))*60000)/($B$12*$B$15)</f>
        <v>7.7459666924148349</v>
      </c>
      <c r="N6" s="19">
        <f>_2200j</f>
        <v>1.5</v>
      </c>
      <c r="O6" s="42" t="str">
        <f>IF(N6="","","bis")</f>
        <v>bis</v>
      </c>
      <c r="P6" s="18">
        <f>_2200k</f>
        <v>2.5</v>
      </c>
      <c r="Q6" s="20">
        <f>(((SQRT($N6)*$B$3)/SQRT(3))*60000)/($B$12*$B$15)</f>
        <v>4.2426406871192848</v>
      </c>
      <c r="R6" s="42" t="str">
        <f>IF(Q6="","","bis")</f>
        <v>bis</v>
      </c>
      <c r="S6" s="18">
        <f>(((SQRT($P6)*$B$3)/SQRT(3))*60000)/($B$12*$B$15)</f>
        <v>5.4772255750516621</v>
      </c>
      <c r="T6" s="20">
        <f>_2200l</f>
        <v>1.5</v>
      </c>
      <c r="U6" s="42" t="str">
        <f>IF(T6="","","bis")</f>
        <v>bis</v>
      </c>
      <c r="V6" s="19">
        <f>_2200m</f>
        <v>1.5</v>
      </c>
      <c r="W6" s="20">
        <f>(((SQRT($T6)*$B$3)/SQRT(3))*60000)/($B$12*$B$15)</f>
        <v>4.2426406871192848</v>
      </c>
      <c r="X6" s="42" t="str">
        <f>IF(W6="","","bis")</f>
        <v>bis</v>
      </c>
      <c r="Y6" s="18">
        <f>(((SQRT($V6)*$B$3)/SQRT(3))*60000)/($B$12*$B$15)</f>
        <v>4.2426406871192848</v>
      </c>
      <c r="Z6" s="20"/>
      <c r="AA6" s="42" t="str">
        <f>IF(Z6="","","bis")</f>
        <v/>
      </c>
      <c r="AB6" s="18"/>
      <c r="AC6" s="20">
        <f>(((SQRT($Z6)*$B$3)/SQRT(3))*60000)/($B$12*$B$15)</f>
        <v>0</v>
      </c>
      <c r="AD6" s="42" t="s">
        <v>54</v>
      </c>
      <c r="AE6" s="18">
        <f>(((SQRT($AB6)*$B$3)/SQRT(3))*60000)/($B$12*$B$15)</f>
        <v>0</v>
      </c>
      <c r="AF6" s="133">
        <f>_2200f</f>
        <v>1.5</v>
      </c>
      <c r="AG6" s="42" t="str">
        <f>IF(AF6="","","bis")</f>
        <v>bis</v>
      </c>
      <c r="AH6" s="134">
        <f>_2200g</f>
        <v>8</v>
      </c>
    </row>
    <row r="7" spans="1:34" ht="18" thickBot="1" x14ac:dyDescent="0.35">
      <c r="A7" s="21">
        <v>7</v>
      </c>
      <c r="B7" s="17">
        <f>(((SQRT(B5)*$B$3)/SQRT(3))*$C$15)/$A7</f>
        <v>279.94168488950612</v>
      </c>
      <c r="C7" s="17">
        <f>(((SQRT(C5)*$B$3)/SQRT(3))*$C$15)/$A7</f>
        <v>442.62666813799058</v>
      </c>
      <c r="D7" s="17">
        <f>(((SQRT(D5)*$B$3)/SQRT(3))*$C$15)/$A7</f>
        <v>559.88336977901224</v>
      </c>
      <c r="F7" s="106" t="str">
        <f>_2018b</f>
        <v>Lechler</v>
      </c>
      <c r="G7" s="106" t="str">
        <f>_2018c</f>
        <v>IDTA 120 05 C</v>
      </c>
      <c r="H7" s="132">
        <f>_2018h</f>
        <v>0</v>
      </c>
      <c r="I7" s="42" t="str">
        <f>IF(H7="","","bis")</f>
        <v>bis</v>
      </c>
      <c r="J7" s="18">
        <f>_2018i</f>
        <v>0</v>
      </c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>
        <f>_2018j</f>
        <v>0</v>
      </c>
      <c r="O7" s="42" t="str">
        <f>IF(N7="","","bis")</f>
        <v>bis</v>
      </c>
      <c r="P7" s="18">
        <f>_2018k</f>
        <v>0</v>
      </c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>
        <f>_2018l</f>
        <v>0</v>
      </c>
      <c r="U7" s="42" t="str">
        <f>IF(T7="","","bis")</f>
        <v>bis</v>
      </c>
      <c r="V7" s="18">
        <f>_2018m</f>
        <v>0</v>
      </c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20">
        <f>_2018n</f>
        <v>1</v>
      </c>
      <c r="AA7" s="42" t="str">
        <f>IF(Z7="","","bis")</f>
        <v>bis</v>
      </c>
      <c r="AB7" s="18">
        <f>_2018o</f>
        <v>1.5</v>
      </c>
      <c r="AC7" s="20">
        <f>(((SQRT($Z7)*$B$3)/SQRT(3))*60000)/($B$12*$B$15)</f>
        <v>3.4641016151377553</v>
      </c>
      <c r="AD7" s="42" t="s">
        <v>54</v>
      </c>
      <c r="AE7" s="18">
        <f>(((SQRT($AB7)*$B$3)/SQRT(3))*60000)/($B$12*$B$15)</f>
        <v>4.2426406871192848</v>
      </c>
      <c r="AF7" s="133">
        <f>_2018f</f>
        <v>1</v>
      </c>
      <c r="AG7" s="42" t="str">
        <f>IF(AF7="","","bis")</f>
        <v>bis</v>
      </c>
      <c r="AH7" s="134">
        <f>_2018g</f>
        <v>8</v>
      </c>
    </row>
    <row r="8" spans="1:34" ht="18" thickBot="1" x14ac:dyDescent="0.35">
      <c r="A8" s="21">
        <v>8</v>
      </c>
      <c r="B8" s="17">
        <f>(((SQRT(B5)*$B$3)/SQRT(3))*$C$15)/$A8</f>
        <v>244.94897427831785</v>
      </c>
      <c r="C8" s="17">
        <f>(((SQRT(C5)*$B$3)/SQRT(3))*1200)/$A8</f>
        <v>387.29833462074174</v>
      </c>
      <c r="D8" s="17">
        <f>(((SQRT(D5)*$B$3)/SQRT(3))*1200)/$A8</f>
        <v>489.8979485566357</v>
      </c>
      <c r="F8" s="106" t="str">
        <f>_b2020b</f>
        <v>JohnDeere</v>
      </c>
      <c r="G8" s="106" t="str">
        <f>_b2020c</f>
        <v>PSAULDCQ2005</v>
      </c>
      <c r="H8" s="132">
        <f>_b2020h</f>
        <v>0</v>
      </c>
      <c r="I8" s="42" t="str">
        <f>IF(H8="","","bis")</f>
        <v>bis</v>
      </c>
      <c r="J8" s="18">
        <f>_b2020i</f>
        <v>0</v>
      </c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>
        <f>_b2020j</f>
        <v>0</v>
      </c>
      <c r="O8" s="42" t="str">
        <f>IF(N8="","","bis")</f>
        <v>bis</v>
      </c>
      <c r="P8" s="18">
        <f>_b2020k</f>
        <v>0</v>
      </c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>
        <f>_b2020l</f>
        <v>0</v>
      </c>
      <c r="U8" s="42" t="str">
        <f>IF(T8="","","bis")</f>
        <v>bis</v>
      </c>
      <c r="V8" s="18">
        <f>_b2020m</f>
        <v>0</v>
      </c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20">
        <f>_b2020n</f>
        <v>1</v>
      </c>
      <c r="AA8" s="42" t="str">
        <f>IF(Z8="","","bis")</f>
        <v>bis</v>
      </c>
      <c r="AB8" s="18">
        <f>_b2020o</f>
        <v>1.5</v>
      </c>
      <c r="AC8" s="20">
        <f>(((SQRT($Z8)*$B$3)/SQRT(3))*60000)/($B$12*$B$15)</f>
        <v>3.4641016151377553</v>
      </c>
      <c r="AD8" s="42" t="s">
        <v>54</v>
      </c>
      <c r="AE8" s="18">
        <f>(((SQRT($AB8)*$B$3)/SQRT(3))*60000)/($B$12*$B$15)</f>
        <v>4.2426406871192848</v>
      </c>
      <c r="AF8" s="133">
        <f>_b2020f</f>
        <v>1</v>
      </c>
      <c r="AG8" s="42" t="str">
        <f>IF(AF8="","","bis")</f>
        <v>bis</v>
      </c>
      <c r="AH8" s="134">
        <f>_b2020g</f>
        <v>8</v>
      </c>
    </row>
    <row r="9" spans="1:34" ht="18" thickBot="1" x14ac:dyDescent="0.35">
      <c r="A9" s="21">
        <v>9</v>
      </c>
      <c r="B9" s="17">
        <f>(((SQRT(B5)*$B$3)/SQRT(3))*$C$15)/$A9</f>
        <v>217.73242158072696</v>
      </c>
      <c r="C9" s="17">
        <f>(((SQRT(C5)*$B$3)/SQRT(3))*$C$15)/$A9</f>
        <v>344.26518632954821</v>
      </c>
      <c r="D9" s="17">
        <f>(((SQRT(D5)*$B$3)/SQRT(3))*$C$15)/$A9</f>
        <v>435.46484316145393</v>
      </c>
      <c r="F9" s="106" t="str">
        <f>_2081b</f>
        <v>TeeJet</v>
      </c>
      <c r="G9" s="106" t="str">
        <f>_2081c</f>
        <v>TTI60-110 05 VP-C</v>
      </c>
      <c r="H9" s="132">
        <f>_2081h</f>
        <v>1.5</v>
      </c>
      <c r="I9" s="42" t="str">
        <f>IF(H9="","","bis")</f>
        <v>bis</v>
      </c>
      <c r="J9" s="18">
        <f>_2081i</f>
        <v>7</v>
      </c>
      <c r="K9" s="20">
        <f>(((SQRT($H9)*$B$3)/SQRT(3))*60000)/($B$12*$B$15)</f>
        <v>4.2426406871192848</v>
      </c>
      <c r="L9" s="42" t="str">
        <f>IF(K9="","","bis")</f>
        <v>bis</v>
      </c>
      <c r="M9" s="18">
        <f>(((SQRT($J9)*$B$3)/SQRT(3))*60000)/($B$12*$B$15)</f>
        <v>9.1651513899116814</v>
      </c>
      <c r="N9" s="20">
        <f>_2081j</f>
        <v>1.5</v>
      </c>
      <c r="O9" s="42" t="str">
        <f>IF(N9="","","bis")</f>
        <v>bis</v>
      </c>
      <c r="P9" s="18">
        <f>_2081k</f>
        <v>3.5</v>
      </c>
      <c r="Q9" s="20">
        <f>(((SQRT($N9)*$B$3)/SQRT(3))*60000)/($B$12*$B$15)</f>
        <v>4.2426406871192848</v>
      </c>
      <c r="R9" s="42" t="str">
        <f>IF(Q9="","","bis")</f>
        <v>bis</v>
      </c>
      <c r="S9" s="18">
        <f>(((SQRT($P9)*$B$3)/SQRT(3))*60000)/($B$12*$B$15)</f>
        <v>6.4807406984078613</v>
      </c>
      <c r="T9" s="20">
        <f>_2081l</f>
        <v>1.5</v>
      </c>
      <c r="U9" s="42" t="str">
        <f>IF(T9="","","bis")</f>
        <v>bis</v>
      </c>
      <c r="V9" s="19">
        <f>_2081m</f>
        <v>2</v>
      </c>
      <c r="W9" s="20">
        <f>(((SQRT($T9)*$B$3)/SQRT(3))*60000)/($B$12*$B$15)</f>
        <v>4.2426406871192848</v>
      </c>
      <c r="X9" s="42" t="str">
        <f>IF(W9="","","bis")</f>
        <v>bis</v>
      </c>
      <c r="Y9" s="18">
        <f>(((SQRT($V9)*$B$3)/SQRT(3))*60000)/($B$12*$B$15)</f>
        <v>4.8989794855663567</v>
      </c>
      <c r="Z9" s="20"/>
      <c r="AA9" s="42" t="str">
        <f>IF(Z9="","","bis")</f>
        <v/>
      </c>
      <c r="AB9" s="18"/>
      <c r="AC9" s="20">
        <f>(((SQRT($Z9)*$B$3)/SQRT(3))*60000)/($B$12*$B$15)</f>
        <v>0</v>
      </c>
      <c r="AD9" s="42" t="s">
        <v>54</v>
      </c>
      <c r="AE9" s="18">
        <f>(((SQRT($AB9)*$B$3)/SQRT(3))*60000)/($B$12*$B$15)</f>
        <v>0</v>
      </c>
      <c r="AF9" s="133">
        <f>_2081f</f>
        <v>1.5</v>
      </c>
      <c r="AG9" s="42" t="str">
        <f>IF(AF9="","","bis")</f>
        <v>bis</v>
      </c>
      <c r="AH9" s="134">
        <f>_2081g</f>
        <v>7</v>
      </c>
    </row>
    <row r="10" spans="1:34" ht="18" thickBot="1" x14ac:dyDescent="0.35">
      <c r="A10" s="22">
        <v>10</v>
      </c>
      <c r="B10" s="27">
        <f>(((SQRT(B5)*$B$3)/SQRT(3))*$C$15)/$A10</f>
        <v>195.95917942265427</v>
      </c>
      <c r="C10" s="27">
        <f>(((SQRT(C5)*$B$3)/SQRT(3))*$C$15)/$A10</f>
        <v>309.8386676965934</v>
      </c>
      <c r="D10" s="27">
        <f>(((SQRT(D5)*$B$3)/SQRT(3))*$C$15)/$A10</f>
        <v>391.91835884530855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20"/>
      <c r="AA10" s="42" t="str">
        <f>IF(Z10="","","bis")</f>
        <v/>
      </c>
      <c r="AB10" s="18"/>
      <c r="AC10" s="20">
        <f>(((SQRT($Z10)*$B$3)/SQRT(3))*60000)/($B$12*$B$15)</f>
        <v>0</v>
      </c>
      <c r="AD10" s="42" t="s">
        <v>54</v>
      </c>
      <c r="AE10" s="18">
        <f>(((SQRT($AB10)*$B$3)/SQRT(3))*60000)/($B$12*$B$15)</f>
        <v>0</v>
      </c>
      <c r="AF10" s="133"/>
      <c r="AG10" s="42" t="str">
        <f>IF(AF10="","","bis")</f>
        <v/>
      </c>
      <c r="AH10" s="134"/>
    </row>
    <row r="11" spans="1:34" ht="18" thickBot="1" x14ac:dyDescent="0.35">
      <c r="J11" s="2"/>
    </row>
    <row r="12" spans="1:34" ht="18" thickBot="1" x14ac:dyDescent="0.35">
      <c r="A12" s="23" t="s">
        <v>56</v>
      </c>
      <c r="B12" s="8">
        <v>400</v>
      </c>
      <c r="C12" s="24"/>
      <c r="D12" s="167">
        <f>Tabelle1!A2</f>
        <v>200</v>
      </c>
    </row>
    <row r="13" spans="1:34" ht="18" thickBot="1" x14ac:dyDescent="0.35">
      <c r="A13" s="23" t="s">
        <v>57</v>
      </c>
      <c r="B13" s="25">
        <f>POWER(((SQRT(3)*$C$13)/$B$3),2)</f>
        <v>2.9999999999999996</v>
      </c>
      <c r="C13" s="26">
        <f>(B12*B14*B15)/60000</f>
        <v>2</v>
      </c>
      <c r="D13" s="25">
        <f>POWER(((SQRT(3)*$E$13)/$B$3),2)</f>
        <v>6.020833333333333</v>
      </c>
      <c r="E13" s="26">
        <f>(D12*D14*D15)/60000</f>
        <v>2.8333333333333335</v>
      </c>
    </row>
    <row r="14" spans="1:34" ht="18" thickBot="1" x14ac:dyDescent="0.35">
      <c r="A14" s="23" t="s">
        <v>58</v>
      </c>
      <c r="B14" s="9">
        <v>6</v>
      </c>
      <c r="D14" s="168">
        <f>Tabelle1!A4</f>
        <v>17</v>
      </c>
    </row>
    <row r="15" spans="1:34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aZN+LUviCohgStSabAb0SG9y5uHsgAriqsxwmHv2y8pA2oI+CSvRCI+LBz+8W95NaFworayRG5ih8BkEg0FDSg==" saltValue="S6WY3cDBgdmIuFHwU0XyKA==" spinCount="100000" sheet="1" objects="1" scenarios="1"/>
  <mergeCells count="14">
    <mergeCell ref="B3:D3"/>
    <mergeCell ref="H4:M4"/>
    <mergeCell ref="N4:S4"/>
    <mergeCell ref="T4:Y4"/>
    <mergeCell ref="AF4:AH5"/>
    <mergeCell ref="H5:J5"/>
    <mergeCell ref="K5:M5"/>
    <mergeCell ref="N5:P5"/>
    <mergeCell ref="Q5:S5"/>
    <mergeCell ref="T5:V5"/>
    <mergeCell ref="W5:Y5"/>
    <mergeCell ref="Z4:AE4"/>
    <mergeCell ref="Z5:AB5"/>
    <mergeCell ref="AC5:AE5"/>
  </mergeCells>
  <conditionalFormatting sqref="B9">
    <cfRule type="cellIs" dxfId="216" priority="8" operator="greaterThan">
      <formula>$B$12</formula>
    </cfRule>
  </conditionalFormatting>
  <conditionalFormatting sqref="C6">
    <cfRule type="cellIs" dxfId="215" priority="14" operator="greaterThan">
      <formula>$B$12</formula>
    </cfRule>
  </conditionalFormatting>
  <conditionalFormatting sqref="B6">
    <cfRule type="cellIs" dxfId="214" priority="15" operator="greaterThan">
      <formula>$B$12</formula>
    </cfRule>
  </conditionalFormatting>
  <conditionalFormatting sqref="B7">
    <cfRule type="cellIs" dxfId="213" priority="12" operator="greaterThan">
      <formula>$B$12</formula>
    </cfRule>
  </conditionalFormatting>
  <conditionalFormatting sqref="D10">
    <cfRule type="cellIs" dxfId="212" priority="1" operator="greaterThan">
      <formula>$B$12</formula>
    </cfRule>
  </conditionalFormatting>
  <conditionalFormatting sqref="D6">
    <cfRule type="cellIs" dxfId="211" priority="13" operator="greaterThan">
      <formula>$B$12</formula>
    </cfRule>
  </conditionalFormatting>
  <conditionalFormatting sqref="C7">
    <cfRule type="cellIs" dxfId="210" priority="11" operator="greaterThan">
      <formula>$B$12</formula>
    </cfRule>
  </conditionalFormatting>
  <conditionalFormatting sqref="D7">
    <cfRule type="cellIs" dxfId="209" priority="10" operator="greaterThan">
      <formula>$B$12</formula>
    </cfRule>
  </conditionalFormatting>
  <conditionalFormatting sqref="B8">
    <cfRule type="cellIs" dxfId="208" priority="9" operator="greaterThan">
      <formula>$B$12</formula>
    </cfRule>
  </conditionalFormatting>
  <conditionalFormatting sqref="B10">
    <cfRule type="cellIs" dxfId="207" priority="7" operator="greaterThan">
      <formula>$B$12</formula>
    </cfRule>
  </conditionalFormatting>
  <conditionalFormatting sqref="C8">
    <cfRule type="cellIs" dxfId="206" priority="6" operator="greaterThan">
      <formula>$B$12</formula>
    </cfRule>
  </conditionalFormatting>
  <conditionalFormatting sqref="D8">
    <cfRule type="cellIs" dxfId="205" priority="5" operator="greaterThan">
      <formula>$B$12</formula>
    </cfRule>
  </conditionalFormatting>
  <conditionalFormatting sqref="C9">
    <cfRule type="cellIs" dxfId="204" priority="4" operator="greaterThan">
      <formula>$B$12</formula>
    </cfRule>
  </conditionalFormatting>
  <conditionalFormatting sqref="D9">
    <cfRule type="cellIs" dxfId="203" priority="3" operator="greaterThan">
      <formula>$B$12</formula>
    </cfRule>
  </conditionalFormatting>
  <conditionalFormatting sqref="C10">
    <cfRule type="cellIs" dxfId="20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2.109375" style="11" bestFit="1" customWidth="1"/>
    <col min="8" max="14" width="6.6640625" style="11" customWidth="1"/>
    <col min="15" max="20" width="6.6640625" style="12" customWidth="1"/>
    <col min="21" max="34" width="6.6640625" style="11" customWidth="1"/>
    <col min="35" max="16384" width="11.44140625" style="11"/>
  </cols>
  <sheetData>
    <row r="1" spans="1:34" x14ac:dyDescent="0.3">
      <c r="A1" s="10"/>
    </row>
    <row r="2" spans="1:34" ht="18" thickBot="1" x14ac:dyDescent="0.35"/>
    <row r="3" spans="1:34" ht="18" thickBot="1" x14ac:dyDescent="0.35">
      <c r="A3" s="36" t="s">
        <v>67</v>
      </c>
      <c r="B3" s="434">
        <v>2</v>
      </c>
      <c r="C3" s="434"/>
      <c r="D3" s="435"/>
    </row>
    <row r="4" spans="1:34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411">
        <v>0.95</v>
      </c>
      <c r="AA4" s="412"/>
      <c r="AB4" s="412"/>
      <c r="AC4" s="412"/>
      <c r="AD4" s="412"/>
      <c r="AE4" s="413"/>
      <c r="AF4" s="391" t="s">
        <v>53</v>
      </c>
      <c r="AG4" s="392"/>
      <c r="AH4" s="393"/>
    </row>
    <row r="5" spans="1:34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414" t="s">
        <v>14</v>
      </c>
      <c r="AA5" s="415"/>
      <c r="AB5" s="416"/>
      <c r="AC5" s="414" t="s">
        <v>55</v>
      </c>
      <c r="AD5" s="415"/>
      <c r="AE5" s="416"/>
      <c r="AF5" s="394"/>
      <c r="AG5" s="395"/>
      <c r="AH5" s="396"/>
    </row>
    <row r="6" spans="1:34" ht="18" thickBot="1" x14ac:dyDescent="0.35">
      <c r="A6" s="16">
        <v>6</v>
      </c>
      <c r="B6" s="17">
        <f>(((SQRT(B5)*$B$3)/SQRT(3))*$C$15)/$A6</f>
        <v>326.59863237109045</v>
      </c>
      <c r="C6" s="17">
        <f>(((SQRT(C5)*$B$3)/SQRT(3))*$C$15)/$A6</f>
        <v>516.39777949432232</v>
      </c>
      <c r="D6" s="17">
        <f>(((SQRT(D5)*$B$3)/SQRT(3))*$C$15)/$A6</f>
        <v>653.19726474218089</v>
      </c>
      <c r="F6" s="106" t="str">
        <f>_1981b</f>
        <v>Lechler</v>
      </c>
      <c r="G6" s="106" t="str">
        <f>_1981c</f>
        <v>Lechler PRE</v>
      </c>
      <c r="H6" s="132">
        <f>_1981h</f>
        <v>1.5</v>
      </c>
      <c r="I6" s="42" t="str">
        <f>IF(H6="","","bis")</f>
        <v>bis</v>
      </c>
      <c r="J6" s="18">
        <f>_1981i</f>
        <v>8</v>
      </c>
      <c r="K6" s="20">
        <f>(((SQRT($H6)*$B$3)/SQRT(3))*60000)/($B$12*$B$15)</f>
        <v>5.6568542494923797</v>
      </c>
      <c r="L6" s="42" t="str">
        <f>IF(K6="","","bis")</f>
        <v>bis</v>
      </c>
      <c r="M6" s="18">
        <f>(((SQRT($J6)*$B$3)/SQRT(3))*60000)/($B$12*$B$15)</f>
        <v>13.063945294843618</v>
      </c>
      <c r="N6" s="132">
        <f>_1981j</f>
        <v>1.5</v>
      </c>
      <c r="O6" s="42" t="str">
        <f>IF(N6="","","bis")</f>
        <v>bis</v>
      </c>
      <c r="P6" s="18">
        <f>_1981k</f>
        <v>8</v>
      </c>
      <c r="Q6" s="20">
        <f>(((SQRT($N6)*$B$3)/SQRT(3))*60000)/($B$12*$B$15)</f>
        <v>5.6568542494923797</v>
      </c>
      <c r="R6" s="42" t="str">
        <f>IF(Q6="","","bis")</f>
        <v>bis</v>
      </c>
      <c r="S6" s="18">
        <f>(((SQRT($P6)*$B$3)/SQRT(3))*60000)/($B$12*$B$15)</f>
        <v>13.063945294843618</v>
      </c>
      <c r="T6" s="20">
        <f>_1981l</f>
        <v>1.5</v>
      </c>
      <c r="U6" s="42" t="str">
        <f>IF(T6="","","bis")</f>
        <v>bis</v>
      </c>
      <c r="V6" s="19">
        <f>_1981m</f>
        <v>6</v>
      </c>
      <c r="W6" s="20">
        <f>(((SQRT($T6)*$B$3)/SQRT(3))*60000)/($B$12*$B$15)</f>
        <v>5.6568542494923797</v>
      </c>
      <c r="X6" s="42" t="str">
        <f>IF(W6="","","bis")</f>
        <v>bis</v>
      </c>
      <c r="Y6" s="19">
        <f>(((SQRT($V6)*$B$3)/SQRT(3))*60000)/($B$12*$B$15)</f>
        <v>11.313708498984759</v>
      </c>
      <c r="Z6" s="20">
        <f>_1981n</f>
        <v>1.5</v>
      </c>
      <c r="AA6" s="42" t="str">
        <f>IF(Z6="","","bis")</f>
        <v>bis</v>
      </c>
      <c r="AB6" s="18">
        <f>_1981o</f>
        <v>5</v>
      </c>
      <c r="AC6" s="20">
        <f>(((SQRT($Z6)*$B$3)/SQRT(3))*60000)/($B$12*$B$15)</f>
        <v>5.6568542494923797</v>
      </c>
      <c r="AD6" s="42" t="str">
        <f>IF(AC6="","","bis")</f>
        <v>bis</v>
      </c>
      <c r="AE6" s="18">
        <f>(((SQRT($AB6)*$B$3)/SQRT(3))*60000)/($B$12*$B$15)</f>
        <v>10.327955589886447</v>
      </c>
      <c r="AF6" s="133">
        <f>_1981f</f>
        <v>1.5</v>
      </c>
      <c r="AG6" s="42" t="str">
        <f>IF(AF6="","","bis")</f>
        <v>bis</v>
      </c>
      <c r="AH6" s="134">
        <f>_1981g</f>
        <v>8</v>
      </c>
    </row>
    <row r="7" spans="1:34" ht="18" thickBot="1" x14ac:dyDescent="0.35">
      <c r="A7" s="21">
        <v>7</v>
      </c>
      <c r="B7" s="17">
        <f>(((SQRT(B5)*$B$3)/SQRT(3))*$C$15)/$A7</f>
        <v>279.94168488950612</v>
      </c>
      <c r="C7" s="17">
        <f>(((SQRT(C5)*$B$3)/SQRT(3))*$C$15)/$A7</f>
        <v>442.62666813799058</v>
      </c>
      <c r="D7" s="17">
        <f>(((SQRT(D5)*$B$3)/SQRT(3))*$C$15)/$A7</f>
        <v>559.88336977901224</v>
      </c>
      <c r="F7" s="106" t="str">
        <f>_1945b</f>
        <v>Lechler</v>
      </c>
      <c r="G7" s="106" t="str">
        <f>_1945c</f>
        <v>Syngenta 130 05</v>
      </c>
      <c r="H7" s="132">
        <f>_1945h</f>
        <v>1.5</v>
      </c>
      <c r="I7" s="42" t="str">
        <f>IF(H7="","","bis")</f>
        <v>bis</v>
      </c>
      <c r="J7" s="18">
        <f>_1945i</f>
        <v>8</v>
      </c>
      <c r="K7" s="20">
        <f>(((SQRT($H7)*$B$3)/SQRT(3))*60000)/($B$12*$B$15)</f>
        <v>5.6568542494923797</v>
      </c>
      <c r="L7" s="42" t="str">
        <f>IF(K7="","","bis")</f>
        <v>bis</v>
      </c>
      <c r="M7" s="18">
        <f>(((SQRT($J7)*$B$3)/SQRT(3))*60000)/($B$12*$B$15)</f>
        <v>13.063945294843618</v>
      </c>
      <c r="N7" s="20">
        <f>_1945j</f>
        <v>1.5</v>
      </c>
      <c r="O7" s="42" t="str">
        <f>IF(N7="","","bis")</f>
        <v>bis</v>
      </c>
      <c r="P7" s="18">
        <f>_1945k</f>
        <v>8</v>
      </c>
      <c r="Q7" s="20">
        <f>(((SQRT($N7)*$B$3)/SQRT(3))*60000)/($B$12*$B$15)</f>
        <v>5.6568542494923797</v>
      </c>
      <c r="R7" s="42" t="str">
        <f>IF(Q7="","","bis")</f>
        <v>bis</v>
      </c>
      <c r="S7" s="18">
        <f>(((SQRT($P7)*$B$3)/SQRT(3))*60000)/($B$12*$B$15)</f>
        <v>13.063945294843618</v>
      </c>
      <c r="T7" s="20">
        <f>_1945l</f>
        <v>1.5</v>
      </c>
      <c r="U7" s="42" t="str">
        <f>IF(T7="","","bis")</f>
        <v>bis</v>
      </c>
      <c r="V7" s="18">
        <f>_1945m</f>
        <v>6</v>
      </c>
      <c r="W7" s="20">
        <f>(((SQRT($T7)*$B$3)/SQRT(3))*60000)/($B$12*$B$15)</f>
        <v>5.6568542494923797</v>
      </c>
      <c r="X7" s="42" t="str">
        <f>IF(W7="","","bis")</f>
        <v>bis</v>
      </c>
      <c r="Y7" s="18">
        <f>(((SQRT($V7)*$B$3)/SQRT(3))*60000)/($B$12*$B$15)</f>
        <v>11.313708498984759</v>
      </c>
      <c r="Z7" s="20">
        <f>_1945n</f>
        <v>1.5</v>
      </c>
      <c r="AA7" s="42" t="str">
        <f>IF(Z7="","","bis")</f>
        <v>bis</v>
      </c>
      <c r="AB7" s="18">
        <f>_1945o</f>
        <v>5</v>
      </c>
      <c r="AC7" s="20">
        <f>(((SQRT($Z7)*$B$3)/SQRT(3))*60000)/($B$12*$B$15)</f>
        <v>5.6568542494923797</v>
      </c>
      <c r="AD7" s="19" t="str">
        <f t="shared" ref="AD7:AD10" si="0">IF(AC7="","","bis")</f>
        <v>bis</v>
      </c>
      <c r="AE7" s="18">
        <f>(((SQRT($AB7)*$B$3)/SQRT(3))*60000)/($B$12*$B$15)</f>
        <v>10.327955589886447</v>
      </c>
      <c r="AF7" s="133">
        <f>_1945f</f>
        <v>1.5</v>
      </c>
      <c r="AG7" s="42" t="str">
        <f>IF(AF7="","","bis")</f>
        <v>bis</v>
      </c>
      <c r="AH7" s="134">
        <f>_1945g</f>
        <v>8</v>
      </c>
    </row>
    <row r="8" spans="1:34" ht="18" thickBot="1" x14ac:dyDescent="0.35">
      <c r="A8" s="21">
        <v>8</v>
      </c>
      <c r="B8" s="17">
        <f>(((SQRT(B5)*$B$3)/SQRT(3))*$C$15)/$A8</f>
        <v>244.94897427831785</v>
      </c>
      <c r="C8" s="17">
        <f>(((SQRT(C5)*$B$3)/SQRT(3))*1200)/$A8</f>
        <v>387.29833462074174</v>
      </c>
      <c r="D8" s="17">
        <f>(((SQRT(D5)*$B$3)/SQRT(3))*1200)/$A8</f>
        <v>489.8979485566357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20"/>
      <c r="AA8" s="42" t="str">
        <f>IF(Z8="","","bis")</f>
        <v/>
      </c>
      <c r="AB8" s="18"/>
      <c r="AC8" s="20">
        <f>(((SQRT($Z8)*$B$3)/SQRT(3))*60000)/($B$12*$B$15)</f>
        <v>0</v>
      </c>
      <c r="AD8" s="19" t="str">
        <f t="shared" si="0"/>
        <v>bis</v>
      </c>
      <c r="AE8" s="18">
        <f>(((SQRT($AB8)*$B$3)/SQRT(3))*60000)/($B$12*$B$15)</f>
        <v>0</v>
      </c>
      <c r="AF8" s="133"/>
      <c r="AG8" s="42" t="str">
        <f>IF(AF8="","","bis")</f>
        <v/>
      </c>
      <c r="AH8" s="134"/>
    </row>
    <row r="9" spans="1:34" ht="18" thickBot="1" x14ac:dyDescent="0.35">
      <c r="A9" s="21">
        <v>9</v>
      </c>
      <c r="B9" s="17">
        <f>(((SQRT(B5)*$B$3)/SQRT(3))*$C$15)/$A9</f>
        <v>217.73242158072696</v>
      </c>
      <c r="C9" s="17">
        <f>(((SQRT(C5)*$B$3)/SQRT(3))*$C$15)/$A9</f>
        <v>344.26518632954821</v>
      </c>
      <c r="D9" s="17">
        <f>(((SQRT(D5)*$B$3)/SQRT(3))*$C$15)/$A9</f>
        <v>435.46484316145393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20"/>
      <c r="AA9" s="42" t="str">
        <f>IF(Z9="","","bis")</f>
        <v/>
      </c>
      <c r="AB9" s="18"/>
      <c r="AC9" s="20">
        <f>(((SQRT($Z9)*$B$3)/SQRT(3))*60000)/($B$12*$B$15)</f>
        <v>0</v>
      </c>
      <c r="AD9" s="19" t="str">
        <f t="shared" si="0"/>
        <v>bis</v>
      </c>
      <c r="AE9" s="18">
        <f>(((SQRT($AB9)*$B$3)/SQRT(3))*60000)/($B$12*$B$15)</f>
        <v>0</v>
      </c>
      <c r="AF9" s="133"/>
      <c r="AG9" s="42" t="str">
        <f>IF(AF9="","","bis")</f>
        <v/>
      </c>
      <c r="AH9" s="134"/>
    </row>
    <row r="10" spans="1:34" ht="18" thickBot="1" x14ac:dyDescent="0.35">
      <c r="A10" s="22">
        <v>10</v>
      </c>
      <c r="B10" s="27">
        <f>(((SQRT(B5)*$B$3)/SQRT(3))*$C$15)/$A10</f>
        <v>195.95917942265427</v>
      </c>
      <c r="C10" s="27">
        <f>(((SQRT(C5)*$B$3)/SQRT(3))*$C$15)/$A10</f>
        <v>309.8386676965934</v>
      </c>
      <c r="D10" s="27">
        <f>(((SQRT(D5)*$B$3)/SQRT(3))*$C$15)/$A10</f>
        <v>391.91835884530855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20"/>
      <c r="AA10" s="42" t="str">
        <f>IF(Z10="","","bis")</f>
        <v/>
      </c>
      <c r="AB10" s="18"/>
      <c r="AC10" s="20">
        <f>(((SQRT($Z10)*$B$3)/SQRT(3))*60000)/($B$12*$B$15)</f>
        <v>0</v>
      </c>
      <c r="AD10" s="19" t="str">
        <f t="shared" si="0"/>
        <v>bis</v>
      </c>
      <c r="AE10" s="18">
        <f>(((SQRT($AB10)*$B$3)/SQRT(3))*60000)/($B$12*$B$15)</f>
        <v>0</v>
      </c>
      <c r="AF10" s="133"/>
      <c r="AG10" s="42" t="str">
        <f>IF(AF10="","","bis")</f>
        <v/>
      </c>
      <c r="AH10" s="134"/>
    </row>
    <row r="11" spans="1:34" ht="18" thickBot="1" x14ac:dyDescent="0.35">
      <c r="J11" s="2"/>
    </row>
    <row r="12" spans="1:34" ht="18" thickBot="1" x14ac:dyDescent="0.35">
      <c r="A12" s="23" t="s">
        <v>56</v>
      </c>
      <c r="B12" s="8">
        <v>300</v>
      </c>
      <c r="C12" s="24"/>
      <c r="D12" s="167">
        <f>Tabelle1!A2</f>
        <v>200</v>
      </c>
    </row>
    <row r="13" spans="1:34" ht="18" thickBot="1" x14ac:dyDescent="0.35">
      <c r="A13" s="23" t="s">
        <v>57</v>
      </c>
      <c r="B13" s="25">
        <f>POWER(((SQRT(3)*$C$13)/$B$3),2)</f>
        <v>1.1718749999999998</v>
      </c>
      <c r="C13" s="26">
        <f>(B12*B14*B15)/60000</f>
        <v>1.25</v>
      </c>
      <c r="D13" s="25">
        <f>POWER(((SQRT(3)*$E$13)/$B$3),2)</f>
        <v>6.020833333333333</v>
      </c>
      <c r="E13" s="26">
        <f>(D12*D14*D15)/60000</f>
        <v>2.8333333333333335</v>
      </c>
    </row>
    <row r="14" spans="1:34" ht="18" thickBot="1" x14ac:dyDescent="0.35">
      <c r="A14" s="23" t="s">
        <v>58</v>
      </c>
      <c r="B14" s="9">
        <v>5</v>
      </c>
      <c r="D14" s="168">
        <f>Tabelle1!A4</f>
        <v>17</v>
      </c>
    </row>
    <row r="15" spans="1:34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R1ybI3QY8HO1taAQOS39MjaHLgnJHU8/g3/N9NdHKuSWyhTT4Yl5CUH1uyDKNBscBisu48A56ZQDPpa5syNikQ==" saltValue="Hz4v0bnrddsH2by1n5Zpqw==" spinCount="100000" sheet="1" objects="1" scenarios="1"/>
  <mergeCells count="14">
    <mergeCell ref="B3:D3"/>
    <mergeCell ref="H4:M4"/>
    <mergeCell ref="N4:S4"/>
    <mergeCell ref="T4:Y4"/>
    <mergeCell ref="Z4:AE4"/>
    <mergeCell ref="AF4:AH5"/>
    <mergeCell ref="H5:J5"/>
    <mergeCell ref="K5:M5"/>
    <mergeCell ref="N5:P5"/>
    <mergeCell ref="Q5:S5"/>
    <mergeCell ref="T5:V5"/>
    <mergeCell ref="W5:Y5"/>
    <mergeCell ref="Z5:AB5"/>
    <mergeCell ref="AC5:AE5"/>
  </mergeCells>
  <conditionalFormatting sqref="B9">
    <cfRule type="cellIs" dxfId="201" priority="8" operator="greaterThan">
      <formula>$B$12</formula>
    </cfRule>
  </conditionalFormatting>
  <conditionalFormatting sqref="C6">
    <cfRule type="cellIs" dxfId="200" priority="14" operator="greaterThan">
      <formula>$B$12</formula>
    </cfRule>
  </conditionalFormatting>
  <conditionalFormatting sqref="B6">
    <cfRule type="cellIs" dxfId="199" priority="15" operator="greaterThan">
      <formula>$B$12</formula>
    </cfRule>
  </conditionalFormatting>
  <conditionalFormatting sqref="B7">
    <cfRule type="cellIs" dxfId="198" priority="12" operator="greaterThan">
      <formula>$B$12</formula>
    </cfRule>
  </conditionalFormatting>
  <conditionalFormatting sqref="D10">
    <cfRule type="cellIs" dxfId="197" priority="1" operator="greaterThan">
      <formula>$B$12</formula>
    </cfRule>
  </conditionalFormatting>
  <conditionalFormatting sqref="D6">
    <cfRule type="cellIs" dxfId="196" priority="13" operator="greaterThan">
      <formula>$B$12</formula>
    </cfRule>
  </conditionalFormatting>
  <conditionalFormatting sqref="C7">
    <cfRule type="cellIs" dxfId="195" priority="11" operator="greaterThan">
      <formula>$B$12</formula>
    </cfRule>
  </conditionalFormatting>
  <conditionalFormatting sqref="D7">
    <cfRule type="cellIs" dxfId="194" priority="10" operator="greaterThan">
      <formula>$B$12</formula>
    </cfRule>
  </conditionalFormatting>
  <conditionalFormatting sqref="B8">
    <cfRule type="cellIs" dxfId="193" priority="9" operator="greaterThan">
      <formula>$B$12</formula>
    </cfRule>
  </conditionalFormatting>
  <conditionalFormatting sqref="B10">
    <cfRule type="cellIs" dxfId="192" priority="7" operator="greaterThan">
      <formula>$B$12</formula>
    </cfRule>
  </conditionalFormatting>
  <conditionalFormatting sqref="C8">
    <cfRule type="cellIs" dxfId="191" priority="6" operator="greaterThan">
      <formula>$B$12</formula>
    </cfRule>
  </conditionalFormatting>
  <conditionalFormatting sqref="D8">
    <cfRule type="cellIs" dxfId="190" priority="5" operator="greaterThan">
      <formula>$B$12</formula>
    </cfRule>
  </conditionalFormatting>
  <conditionalFormatting sqref="C9">
    <cfRule type="cellIs" dxfId="189" priority="4" operator="greaterThan">
      <formula>$B$12</formula>
    </cfRule>
  </conditionalFormatting>
  <conditionalFormatting sqref="D9">
    <cfRule type="cellIs" dxfId="188" priority="3" operator="greaterThan">
      <formula>$B$12</formula>
    </cfRule>
  </conditionalFormatting>
  <conditionalFormatting sqref="C10">
    <cfRule type="cellIs" dxfId="18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.8867187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6" t="s">
        <v>67</v>
      </c>
      <c r="B3" s="434">
        <v>2</v>
      </c>
      <c r="C3" s="434"/>
      <c r="D3" s="435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230.94010767585033</v>
      </c>
      <c r="C6" s="17">
        <f>(((SQRT(C5)*$B$3)/SQRT(3))*$C$15)/$A6</f>
        <v>400</v>
      </c>
      <c r="D6" s="17">
        <f>(((SQRT(D5)*$B$3)/SQRT(3))*$C$15)/$A6</f>
        <v>565.68542494923793</v>
      </c>
      <c r="F6" s="106" t="str">
        <f>_2280b</f>
        <v>TeeJet</v>
      </c>
      <c r="G6" s="106" t="str">
        <f>_2280c</f>
        <v>APTJ-11005VP</v>
      </c>
      <c r="H6" s="132">
        <f>_2280h</f>
        <v>2</v>
      </c>
      <c r="I6" s="42" t="str">
        <f>IF(H6="","","bis")</f>
        <v>bis</v>
      </c>
      <c r="J6" s="18">
        <f>_2280i</f>
        <v>7</v>
      </c>
      <c r="K6" s="20">
        <f>(((SQRT($H6)*$B$3)/SQRT(3))*60000)/($B$12*$B$15)</f>
        <v>6.5319726474218092</v>
      </c>
      <c r="L6" s="42" t="str">
        <f>IF(K6="","","bis")</f>
        <v>bis</v>
      </c>
      <c r="M6" s="18">
        <f>(((SQRT($J6)*$B$3)/SQRT(3))*60000)/($B$12*$B$15)</f>
        <v>12.220201853215574</v>
      </c>
      <c r="N6" s="132">
        <f>_2280j</f>
        <v>2</v>
      </c>
      <c r="O6" s="42" t="str">
        <f>IF(N6="","","bis")</f>
        <v>bis</v>
      </c>
      <c r="P6" s="18">
        <f>_2280k</f>
        <v>5</v>
      </c>
      <c r="Q6" s="20">
        <f>(((SQRT($N6)*$B$3)/SQRT(3))*60000)/($B$12*$B$15)</f>
        <v>6.5319726474218092</v>
      </c>
      <c r="R6" s="42" t="str">
        <f>IF(Q6="","","bis")</f>
        <v>bis</v>
      </c>
      <c r="S6" s="18">
        <f>(((SQRT($P6)*$B$3)/SQRT(3))*60000)/($B$12*$B$15)</f>
        <v>10.327955589886447</v>
      </c>
      <c r="T6" s="132">
        <f>_2280l</f>
        <v>2</v>
      </c>
      <c r="U6" s="42" t="str">
        <f>IF(T6="","","bis")</f>
        <v>bis</v>
      </c>
      <c r="V6" s="18">
        <f>_2280m</f>
        <v>3</v>
      </c>
      <c r="W6" s="20">
        <f>(((SQRT($T6)*$B$3)/SQRT(3))*60000)/($B$12*$B$15)</f>
        <v>6.5319726474218092</v>
      </c>
      <c r="X6" s="42" t="str">
        <f>IF(W6="","","bis")</f>
        <v>bis</v>
      </c>
      <c r="Y6" s="19">
        <f>(((SQRT($V6)*$B$3)/SQRT(3))*60000)/($B$12*$B$15)</f>
        <v>8</v>
      </c>
      <c r="Z6" s="133">
        <f>_2280f</f>
        <v>2</v>
      </c>
      <c r="AA6" s="42" t="str">
        <f>IF(Z6="","","bis")</f>
        <v>bis</v>
      </c>
      <c r="AB6" s="134">
        <f>_2280g</f>
        <v>7</v>
      </c>
    </row>
    <row r="7" spans="1:28" ht="18" thickBot="1" x14ac:dyDescent="0.35">
      <c r="A7" s="21">
        <v>7</v>
      </c>
      <c r="B7" s="17">
        <f>(((SQRT(B5)*$B$3)/SQRT(3))*$C$15)/$A7</f>
        <v>197.94866372215742</v>
      </c>
      <c r="C7" s="17">
        <f>(((SQRT(C5)*$B$3)/SQRT(3))*$C$15)/$A7</f>
        <v>342.85714285714283</v>
      </c>
      <c r="D7" s="17">
        <f>(((SQRT(D5)*$B$3)/SQRT(3))*$C$15)/$A7</f>
        <v>484.87322138506113</v>
      </c>
      <c r="F7" s="106" t="str">
        <f>_2104b</f>
        <v>Agrotop</v>
      </c>
      <c r="G7" s="106" t="str">
        <f>_2104c</f>
        <v>SoftDrop 110 05</v>
      </c>
      <c r="H7" s="132">
        <f>_2104h</f>
        <v>1.5</v>
      </c>
      <c r="I7" s="42" t="str">
        <f>IF(H7="","","bis")</f>
        <v>bis</v>
      </c>
      <c r="J7" s="18">
        <f>_2104i</f>
        <v>6</v>
      </c>
      <c r="K7" s="20">
        <f>(((SQRT($H7)*$B$3)/SQRT(3))*60000)/($B$12*$B$15)</f>
        <v>5.6568542494923797</v>
      </c>
      <c r="L7" s="42" t="str">
        <f>IF(K7="","","bis")</f>
        <v>bis</v>
      </c>
      <c r="M7" s="18">
        <f>(((SQRT($J7)*$B$3)/SQRT(3))*60000)/($B$12*$B$15)</f>
        <v>11.313708498984759</v>
      </c>
      <c r="N7" s="132">
        <f>_2104j</f>
        <v>1.5</v>
      </c>
      <c r="O7" s="42" t="str">
        <f>IF(N7="","","bis")</f>
        <v>bis</v>
      </c>
      <c r="P7" s="18">
        <f>_2104k</f>
        <v>5</v>
      </c>
      <c r="Q7" s="20">
        <f>(((SQRT($N7)*$B$3)/SQRT(3))*60000)/($B$12*$B$15)</f>
        <v>5.6568542494923797</v>
      </c>
      <c r="R7" s="42" t="str">
        <f>IF(Q7="","","bis")</f>
        <v>bis</v>
      </c>
      <c r="S7" s="18">
        <f>(((SQRT($P7)*$B$3)/SQRT(3))*60000)/($B$12*$B$15)</f>
        <v>10.327955589886447</v>
      </c>
      <c r="T7" s="132">
        <f>_2104l</f>
        <v>1.5</v>
      </c>
      <c r="U7" s="42" t="str">
        <f>IF(T7="","","bis")</f>
        <v>bis</v>
      </c>
      <c r="V7" s="18">
        <f>_2104m</f>
        <v>2.5</v>
      </c>
      <c r="W7" s="20">
        <f>(((SQRT($T7)*$B$3)/SQRT(3))*60000)/($B$12*$B$15)</f>
        <v>5.6568542494923797</v>
      </c>
      <c r="X7" s="42" t="str">
        <f>IF(W7="","","bis")</f>
        <v>bis</v>
      </c>
      <c r="Y7" s="18">
        <f>(((SQRT($V7)*$B$3)/SQRT(3))*60000)/($B$12*$B$15)</f>
        <v>7.3029674334022161</v>
      </c>
      <c r="Z7" s="133">
        <f>_2104f</f>
        <v>2</v>
      </c>
      <c r="AA7" s="42" t="str">
        <f>IF(Z7="","","bis")</f>
        <v>bis</v>
      </c>
      <c r="AB7" s="134">
        <f>_2104g</f>
        <v>6</v>
      </c>
    </row>
    <row r="8" spans="1:28" ht="18" thickBot="1" x14ac:dyDescent="0.35">
      <c r="A8" s="21">
        <v>8</v>
      </c>
      <c r="B8" s="17">
        <f>(((SQRT(B5)*$B$3)/SQRT(3))*$C$15)/$A8</f>
        <v>173.20508075688775</v>
      </c>
      <c r="C8" s="17">
        <f>(((SQRT(C5)*$B$3)/SQRT(3))*1200)/$A8</f>
        <v>300</v>
      </c>
      <c r="D8" s="17">
        <f>(((SQRT(D5)*$B$3)/SQRT(3))*1200)/$A8</f>
        <v>424.26406871192847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132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132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153.96007178390022</v>
      </c>
      <c r="C9" s="17">
        <f>(((SQRT(C5)*$B$3)/SQRT(3))*$C$15)/$A9</f>
        <v>266.66666666666669</v>
      </c>
      <c r="D9" s="17">
        <f>(((SQRT(D5)*$B$3)/SQRT(3))*$C$15)/$A9</f>
        <v>377.1236166328253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132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132"/>
      <c r="U9" s="42" t="str">
        <f>IF(T9="","","bis")</f>
        <v/>
      </c>
      <c r="V9" s="18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138.5640646055102</v>
      </c>
      <c r="C10" s="27">
        <f>(((SQRT(C5)*$B$3)/SQRT(3))*$C$15)/$A10</f>
        <v>240</v>
      </c>
      <c r="D10" s="27">
        <f>(((SQRT(D5)*$B$3)/SQRT(3))*$C$15)/$A10</f>
        <v>339.41125496954277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300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2.6367187499999996</v>
      </c>
      <c r="C13" s="26">
        <f>(B12*B14*B15)/60000</f>
        <v>1.875</v>
      </c>
      <c r="D13" s="25">
        <f>POWER(((SQRT(3)*$E$13)/$B$3),2)</f>
        <v>6.020833333333333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7.5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IUclIsGKyPDcSNjGuadsByQEePxmERLqW3uSZHvVlP1OZ37Xcs2Sjz2rF5F9wsJUbng8gaF9N+ZRLyM87tUK4A==" saltValue="bbH+AS5yWfG0hudhGkw3sg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186" priority="8" operator="greaterThan">
      <formula>$B$12</formula>
    </cfRule>
  </conditionalFormatting>
  <conditionalFormatting sqref="C6">
    <cfRule type="cellIs" dxfId="185" priority="14" operator="greaterThan">
      <formula>$B$12</formula>
    </cfRule>
  </conditionalFormatting>
  <conditionalFormatting sqref="B6">
    <cfRule type="cellIs" dxfId="184" priority="15" operator="greaterThan">
      <formula>$B$12</formula>
    </cfRule>
  </conditionalFormatting>
  <conditionalFormatting sqref="B7">
    <cfRule type="cellIs" dxfId="183" priority="12" operator="greaterThan">
      <formula>$B$12</formula>
    </cfRule>
  </conditionalFormatting>
  <conditionalFormatting sqref="D10">
    <cfRule type="cellIs" dxfId="182" priority="1" operator="greaterThan">
      <formula>$B$12</formula>
    </cfRule>
  </conditionalFormatting>
  <conditionalFormatting sqref="D6">
    <cfRule type="cellIs" dxfId="181" priority="13" operator="greaterThan">
      <formula>$B$12</formula>
    </cfRule>
  </conditionalFormatting>
  <conditionalFormatting sqref="C7">
    <cfRule type="cellIs" dxfId="180" priority="11" operator="greaterThan">
      <formula>$B$12</formula>
    </cfRule>
  </conditionalFormatting>
  <conditionalFormatting sqref="D7">
    <cfRule type="cellIs" dxfId="179" priority="10" operator="greaterThan">
      <formula>$B$12</formula>
    </cfRule>
  </conditionalFormatting>
  <conditionalFormatting sqref="B8">
    <cfRule type="cellIs" dxfId="178" priority="9" operator="greaterThan">
      <formula>$B$12</formula>
    </cfRule>
  </conditionalFormatting>
  <conditionalFormatting sqref="B10">
    <cfRule type="cellIs" dxfId="177" priority="7" operator="greaterThan">
      <formula>$B$12</formula>
    </cfRule>
  </conditionalFormatting>
  <conditionalFormatting sqref="C8">
    <cfRule type="cellIs" dxfId="176" priority="6" operator="greaterThan">
      <formula>$B$12</formula>
    </cfRule>
  </conditionalFormatting>
  <conditionalFormatting sqref="D8">
    <cfRule type="cellIs" dxfId="175" priority="5" operator="greaterThan">
      <formula>$B$12</formula>
    </cfRule>
  </conditionalFormatting>
  <conditionalFormatting sqref="C9">
    <cfRule type="cellIs" dxfId="174" priority="4" operator="greaterThan">
      <formula>$B$12</formula>
    </cfRule>
  </conditionalFormatting>
  <conditionalFormatting sqref="D9">
    <cfRule type="cellIs" dxfId="173" priority="3" operator="greaterThan">
      <formula>$B$12</formula>
    </cfRule>
  </conditionalFormatting>
  <conditionalFormatting sqref="C10">
    <cfRule type="cellIs" dxfId="17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.8867187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6" t="s">
        <v>67</v>
      </c>
      <c r="B3" s="434">
        <v>2</v>
      </c>
      <c r="C3" s="434"/>
      <c r="D3" s="435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230.94010767585033</v>
      </c>
      <c r="C6" s="17">
        <f>(((SQRT(C5)*$B$3)/SQRT(3))*$C$15)/$A6</f>
        <v>400</v>
      </c>
      <c r="D6" s="17">
        <f>(((SQRT(D5)*$B$3)/SQRT(3))*$C$15)/$A6</f>
        <v>565.68542494923793</v>
      </c>
      <c r="F6" s="106" t="str">
        <f>Abdrift!B18</f>
        <v>TeeJet</v>
      </c>
      <c r="G6" s="106" t="str">
        <f>Abdrift!C18</f>
        <v>APTJ-11005VP</v>
      </c>
      <c r="H6" s="132">
        <f>Abdrift!H18</f>
        <v>2</v>
      </c>
      <c r="I6" s="42" t="str">
        <f>IF(H6="","","bis")</f>
        <v>bis</v>
      </c>
      <c r="J6" s="18">
        <f>Abdrift!I18</f>
        <v>7</v>
      </c>
      <c r="K6" s="20">
        <f>(((SQRT($H6)*$B$3)/SQRT(3))*60000)/($B$12*$B$15)</f>
        <v>6.5319726474218092</v>
      </c>
      <c r="L6" s="42" t="str">
        <f>IF(K6="","","bis")</f>
        <v>bis</v>
      </c>
      <c r="M6" s="18">
        <f>(((SQRT($J6)*$B$3)/SQRT(3))*60000)/($B$12*$B$15)</f>
        <v>12.220201853215574</v>
      </c>
      <c r="N6" s="132">
        <f>Abdrift!J18</f>
        <v>2</v>
      </c>
      <c r="O6" s="42" t="str">
        <f>IF(N6="","","bis")</f>
        <v>bis</v>
      </c>
      <c r="P6" s="18">
        <f>Abdrift!K18</f>
        <v>5</v>
      </c>
      <c r="Q6" s="20">
        <f>(((SQRT($N6)*$B$3)/SQRT(3))*60000)/($B$12*$B$15)</f>
        <v>6.5319726474218092</v>
      </c>
      <c r="R6" s="42" t="str">
        <f>IF(Q6="","","bis")</f>
        <v>bis</v>
      </c>
      <c r="S6" s="18">
        <f>(((SQRT($P6)*$B$3)/SQRT(3))*60000)/($B$12*$B$15)</f>
        <v>10.327955589886447</v>
      </c>
      <c r="T6" s="132">
        <f>Abdrift!L18</f>
        <v>2</v>
      </c>
      <c r="U6" s="42" t="str">
        <f>IF(T6="","","bis")</f>
        <v>bis</v>
      </c>
      <c r="V6" s="18">
        <f>Abdrift!M18</f>
        <v>3</v>
      </c>
      <c r="W6" s="20">
        <f>(((SQRT($T6)*$B$3)/SQRT(3))*60000)/($B$12*$B$15)</f>
        <v>6.5319726474218092</v>
      </c>
      <c r="X6" s="42" t="str">
        <f>IF(W6="","","bis")</f>
        <v>bis</v>
      </c>
      <c r="Y6" s="19">
        <f>(((SQRT($V6)*$B$3)/SQRT(3))*60000)/($B$12*$B$15)</f>
        <v>8</v>
      </c>
      <c r="Z6" s="133">
        <f>Abdrift!F18</f>
        <v>2</v>
      </c>
      <c r="AA6" s="42" t="str">
        <f>IF(Z6="","","bis")</f>
        <v>bis</v>
      </c>
      <c r="AB6" s="134">
        <f>Abdrift!G18</f>
        <v>7</v>
      </c>
    </row>
    <row r="7" spans="1:28" ht="18" thickBot="1" x14ac:dyDescent="0.35">
      <c r="A7" s="21">
        <v>7</v>
      </c>
      <c r="B7" s="17">
        <f>(((SQRT(B5)*$B$3)/SQRT(3))*$C$15)/$A7</f>
        <v>197.94866372215742</v>
      </c>
      <c r="C7" s="17">
        <f>(((SQRT(C5)*$B$3)/SQRT(3))*$C$15)/$A7</f>
        <v>342.85714285714283</v>
      </c>
      <c r="D7" s="17">
        <f>(((SQRT(D5)*$B$3)/SQRT(3))*$C$15)/$A7</f>
        <v>484.87322138506113</v>
      </c>
      <c r="F7" s="106" t="str">
        <f>_2104b</f>
        <v>Agrotop</v>
      </c>
      <c r="G7" s="106" t="str">
        <f>_2104c</f>
        <v>SoftDrop 110 05</v>
      </c>
      <c r="H7" s="132">
        <f>_2104h</f>
        <v>1.5</v>
      </c>
      <c r="I7" s="42" t="str">
        <f>IF(H7="","","bis")</f>
        <v>bis</v>
      </c>
      <c r="J7" s="18">
        <f>_2104i</f>
        <v>6</v>
      </c>
      <c r="K7" s="20">
        <f>(((SQRT($H7)*$B$3)/SQRT(3))*60000)/($B$12*$B$15)</f>
        <v>5.6568542494923797</v>
      </c>
      <c r="L7" s="42" t="str">
        <f>IF(K7="","","bis")</f>
        <v>bis</v>
      </c>
      <c r="M7" s="18">
        <f>(((SQRT($J7)*$B$3)/SQRT(3))*60000)/($B$12*$B$15)</f>
        <v>11.313708498984759</v>
      </c>
      <c r="N7" s="132">
        <f>_2104j</f>
        <v>1.5</v>
      </c>
      <c r="O7" s="42" t="str">
        <f>IF(N7="","","bis")</f>
        <v>bis</v>
      </c>
      <c r="P7" s="18">
        <f>_2104k</f>
        <v>5</v>
      </c>
      <c r="Q7" s="20">
        <f>(((SQRT($N7)*$B$3)/SQRT(3))*60000)/($B$12*$B$15)</f>
        <v>5.6568542494923797</v>
      </c>
      <c r="R7" s="42" t="str">
        <f>IF(Q7="","","bis")</f>
        <v>bis</v>
      </c>
      <c r="S7" s="18">
        <f>(((SQRT($P7)*$B$3)/SQRT(3))*60000)/($B$12*$B$15)</f>
        <v>10.327955589886447</v>
      </c>
      <c r="T7" s="132">
        <f>_2104l</f>
        <v>1.5</v>
      </c>
      <c r="U7" s="42" t="str">
        <f>IF(T7="","","bis")</f>
        <v>bis</v>
      </c>
      <c r="V7" s="18">
        <f>_2104m</f>
        <v>2.5</v>
      </c>
      <c r="W7" s="20">
        <f>(((SQRT($T7)*$B$3)/SQRT(3))*60000)/($B$12*$B$15)</f>
        <v>5.6568542494923797</v>
      </c>
      <c r="X7" s="42" t="str">
        <f>IF(W7="","","bis")</f>
        <v>bis</v>
      </c>
      <c r="Y7" s="18">
        <f>(((SQRT($V7)*$B$3)/SQRT(3))*60000)/($B$12*$B$15)</f>
        <v>7.3029674334022161</v>
      </c>
      <c r="Z7" s="133">
        <f>_2104f</f>
        <v>2</v>
      </c>
      <c r="AA7" s="42" t="str">
        <f>IF(Z7="","","bis")</f>
        <v>bis</v>
      </c>
      <c r="AB7" s="134">
        <f>_2104g</f>
        <v>6</v>
      </c>
    </row>
    <row r="8" spans="1:28" ht="18" thickBot="1" x14ac:dyDescent="0.35">
      <c r="A8" s="21">
        <v>8</v>
      </c>
      <c r="B8" s="17">
        <f>(((SQRT(B5)*$B$3)/SQRT(3))*$C$15)/$A8</f>
        <v>173.20508075688775</v>
      </c>
      <c r="C8" s="17">
        <f>(((SQRT(C5)*$B$3)/SQRT(3))*1200)/$A8</f>
        <v>300</v>
      </c>
      <c r="D8" s="17">
        <f>(((SQRT(D5)*$B$3)/SQRT(3))*1200)/$A8</f>
        <v>424.26406871192847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132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132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153.96007178390022</v>
      </c>
      <c r="C9" s="17">
        <f>(((SQRT(C5)*$B$3)/SQRT(3))*$C$15)/$A9</f>
        <v>266.66666666666669</v>
      </c>
      <c r="D9" s="17">
        <f>(((SQRT(D5)*$B$3)/SQRT(3))*$C$15)/$A9</f>
        <v>377.1236166328253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132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132"/>
      <c r="U9" s="42" t="str">
        <f>IF(T9="","","bis")</f>
        <v/>
      </c>
      <c r="V9" s="18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138.5640646055102</v>
      </c>
      <c r="C10" s="27">
        <f>(((SQRT(C5)*$B$3)/SQRT(3))*$C$15)/$A10</f>
        <v>240</v>
      </c>
      <c r="D10" s="27">
        <f>(((SQRT(D5)*$B$3)/SQRT(3))*$C$15)/$A10</f>
        <v>339.41125496954277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300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2.6367187499999996</v>
      </c>
      <c r="C13" s="26">
        <f>(B12*B14*B15)/60000</f>
        <v>1.875</v>
      </c>
      <c r="D13" s="25">
        <f>POWER(((SQRT(3)*$E$13)/$B$3),2)</f>
        <v>6.020833333333333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7.5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t2RVdnsr2CJ8I6J3OWXFowTc05NrFYF0ezv3RLU4qa1bQXmpJG3aTffDfCZaYl5m0XhXhrNrjB5pyLQVIfiiAQ==" saltValue="tHgj5qFM9eiY9bxHKlWB1A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171" priority="8" operator="greaterThan">
      <formula>$B$12</formula>
    </cfRule>
  </conditionalFormatting>
  <conditionalFormatting sqref="C6">
    <cfRule type="cellIs" dxfId="170" priority="14" operator="greaterThan">
      <formula>$B$12</formula>
    </cfRule>
  </conditionalFormatting>
  <conditionalFormatting sqref="B6">
    <cfRule type="cellIs" dxfId="169" priority="15" operator="greaterThan">
      <formula>$B$12</formula>
    </cfRule>
  </conditionalFormatting>
  <conditionalFormatting sqref="B7">
    <cfRule type="cellIs" dxfId="168" priority="12" operator="greaterThan">
      <formula>$B$12</formula>
    </cfRule>
  </conditionalFormatting>
  <conditionalFormatting sqref="D10">
    <cfRule type="cellIs" dxfId="167" priority="1" operator="greaterThan">
      <formula>$B$12</formula>
    </cfRule>
  </conditionalFormatting>
  <conditionalFormatting sqref="D6">
    <cfRule type="cellIs" dxfId="166" priority="13" operator="greaterThan">
      <formula>$B$12</formula>
    </cfRule>
  </conditionalFormatting>
  <conditionalFormatting sqref="C7">
    <cfRule type="cellIs" dxfId="165" priority="11" operator="greaterThan">
      <formula>$B$12</formula>
    </cfRule>
  </conditionalFormatting>
  <conditionalFormatting sqref="D7">
    <cfRule type="cellIs" dxfId="164" priority="10" operator="greaterThan">
      <formula>$B$12</formula>
    </cfRule>
  </conditionalFormatting>
  <conditionalFormatting sqref="B8">
    <cfRule type="cellIs" dxfId="163" priority="9" operator="greaterThan">
      <formula>$B$12</formula>
    </cfRule>
  </conditionalFormatting>
  <conditionalFormatting sqref="B10">
    <cfRule type="cellIs" dxfId="162" priority="7" operator="greaterThan">
      <formula>$B$12</formula>
    </cfRule>
  </conditionalFormatting>
  <conditionalFormatting sqref="C8">
    <cfRule type="cellIs" dxfId="161" priority="6" operator="greaterThan">
      <formula>$B$12</formula>
    </cfRule>
  </conditionalFormatting>
  <conditionalFormatting sqref="D8">
    <cfRule type="cellIs" dxfId="160" priority="5" operator="greaterThan">
      <formula>$B$12</formula>
    </cfRule>
  </conditionalFormatting>
  <conditionalFormatting sqref="C9">
    <cfRule type="cellIs" dxfId="159" priority="4" operator="greaterThan">
      <formula>$B$12</formula>
    </cfRule>
  </conditionalFormatting>
  <conditionalFormatting sqref="D9">
    <cfRule type="cellIs" dxfId="158" priority="3" operator="greaterThan">
      <formula>$B$12</formula>
    </cfRule>
  </conditionalFormatting>
  <conditionalFormatting sqref="C10">
    <cfRule type="cellIs" dxfId="15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9.88671875" style="11" bestFit="1" customWidth="1"/>
    <col min="8" max="8" width="21.5546875" style="11" bestFit="1" customWidth="1"/>
    <col min="9" max="14" width="6.6640625" style="11" customWidth="1"/>
    <col min="15" max="20" width="6.6640625" style="12" customWidth="1"/>
    <col min="21" max="32" width="6.6640625" style="11" customWidth="1"/>
    <col min="33" max="33" width="10.33203125" style="11" customWidth="1"/>
    <col min="34" max="34" width="6.6640625" style="11" customWidth="1"/>
    <col min="35" max="16384" width="11.44140625" style="11"/>
  </cols>
  <sheetData>
    <row r="1" spans="1:35" x14ac:dyDescent="0.3">
      <c r="A1" s="10"/>
    </row>
    <row r="2" spans="1:35" ht="18" thickBot="1" x14ac:dyDescent="0.35"/>
    <row r="3" spans="1:35" ht="18" thickBot="1" x14ac:dyDescent="0.35">
      <c r="A3" s="36" t="s">
        <v>67</v>
      </c>
      <c r="B3" s="434">
        <v>2</v>
      </c>
      <c r="C3" s="434"/>
      <c r="D3" s="435"/>
    </row>
    <row r="4" spans="1:35" ht="18" thickBot="1" x14ac:dyDescent="0.35">
      <c r="G4" s="109" t="str">
        <f>"05"</f>
        <v>05</v>
      </c>
      <c r="H4" s="109" t="str">
        <f>"05"</f>
        <v>05</v>
      </c>
      <c r="I4" s="381">
        <v>50</v>
      </c>
      <c r="J4" s="382"/>
      <c r="K4" s="382"/>
      <c r="L4" s="382"/>
      <c r="M4" s="382"/>
      <c r="N4" s="399"/>
      <c r="O4" s="383">
        <v>75</v>
      </c>
      <c r="P4" s="383"/>
      <c r="Q4" s="383"/>
      <c r="R4" s="383"/>
      <c r="S4" s="383"/>
      <c r="T4" s="400"/>
      <c r="U4" s="384">
        <v>90</v>
      </c>
      <c r="V4" s="385"/>
      <c r="W4" s="385"/>
      <c r="X4" s="385"/>
      <c r="Y4" s="385"/>
      <c r="Z4" s="401"/>
      <c r="AA4" s="411">
        <v>0.95</v>
      </c>
      <c r="AB4" s="412"/>
      <c r="AC4" s="412"/>
      <c r="AD4" s="412"/>
      <c r="AE4" s="412"/>
      <c r="AF4" s="413"/>
      <c r="AG4" s="391" t="s">
        <v>53</v>
      </c>
      <c r="AH4" s="392"/>
      <c r="AI4" s="393"/>
    </row>
    <row r="5" spans="1:35" ht="18" thickBot="1" x14ac:dyDescent="0.35">
      <c r="A5" s="13" t="s">
        <v>52</v>
      </c>
      <c r="B5" s="14">
        <v>1</v>
      </c>
      <c r="C5" s="15">
        <v>4</v>
      </c>
      <c r="D5" s="15">
        <v>8</v>
      </c>
      <c r="E5" s="104"/>
      <c r="F5" s="13" t="s">
        <v>9</v>
      </c>
      <c r="G5" s="13" t="s">
        <v>200</v>
      </c>
      <c r="H5" s="13" t="s">
        <v>198</v>
      </c>
      <c r="I5" s="402" t="s">
        <v>14</v>
      </c>
      <c r="J5" s="403"/>
      <c r="K5" s="404"/>
      <c r="L5" s="381" t="s">
        <v>55</v>
      </c>
      <c r="M5" s="382"/>
      <c r="N5" s="399"/>
      <c r="O5" s="405" t="s">
        <v>14</v>
      </c>
      <c r="P5" s="383"/>
      <c r="Q5" s="400"/>
      <c r="R5" s="405" t="s">
        <v>55</v>
      </c>
      <c r="S5" s="383"/>
      <c r="T5" s="400"/>
      <c r="U5" s="384" t="s">
        <v>14</v>
      </c>
      <c r="V5" s="385"/>
      <c r="W5" s="401"/>
      <c r="X5" s="388" t="s">
        <v>55</v>
      </c>
      <c r="Y5" s="389"/>
      <c r="Z5" s="390"/>
      <c r="AA5" s="414" t="s">
        <v>14</v>
      </c>
      <c r="AB5" s="415"/>
      <c r="AC5" s="416"/>
      <c r="AD5" s="414" t="s">
        <v>55</v>
      </c>
      <c r="AE5" s="415"/>
      <c r="AF5" s="416"/>
      <c r="AG5" s="394"/>
      <c r="AH5" s="395"/>
      <c r="AI5" s="396"/>
    </row>
    <row r="6" spans="1:35" ht="18" thickBot="1" x14ac:dyDescent="0.35">
      <c r="A6" s="16">
        <v>6</v>
      </c>
      <c r="B6" s="17">
        <f>(((SQRT(B5)*$B$3)/SQRT(3))*$C$15)/$A6</f>
        <v>230.94010767585033</v>
      </c>
      <c r="C6" s="17">
        <f>(((SQRT(C5)*$B$3)/SQRT(3))*$C$15)/$A6</f>
        <v>461.88021535170066</v>
      </c>
      <c r="D6" s="17">
        <f>(((SQRT(D5)*$B$3)/SQRT(3))*$C$15)/$A6</f>
        <v>653.19726474218089</v>
      </c>
      <c r="E6" s="105"/>
      <c r="F6" s="106" t="str">
        <f>_1789b</f>
        <v>Lechler</v>
      </c>
      <c r="G6" s="106" t="str">
        <f>_1789t</f>
        <v>IDK 120 05</v>
      </c>
      <c r="H6" s="106" t="str">
        <f>_1789c</f>
        <v>IDKS 80 05</v>
      </c>
      <c r="I6" s="132">
        <f>_1789h</f>
        <v>1</v>
      </c>
      <c r="J6" s="42" t="str">
        <f>IF(I6="","","bis")</f>
        <v>bis</v>
      </c>
      <c r="K6" s="18">
        <f>_1789i</f>
        <v>4</v>
      </c>
      <c r="L6" s="20">
        <f>(((SQRT($I6)*$B$3)/SQRT(3))*60000)/($B$12*$B$15)</f>
        <v>4.6188021535170067</v>
      </c>
      <c r="M6" s="42" t="str">
        <f>IF(L6="","","bis")</f>
        <v>bis</v>
      </c>
      <c r="N6" s="18">
        <f>(((SQRT($K6)*$B$3)/SQRT(3))*60000)/($B$12*$B$15)</f>
        <v>9.2376043070340135</v>
      </c>
      <c r="O6" s="132">
        <f>_1789j</f>
        <v>1</v>
      </c>
      <c r="P6" s="42" t="str">
        <f>IF(O6="","","bis")</f>
        <v>bis</v>
      </c>
      <c r="Q6" s="18">
        <f>_1789k</f>
        <v>1.5</v>
      </c>
      <c r="R6" s="20">
        <f>(((SQRT($O6)*$B$3)/SQRT(3))*60000)/($B$12*$B$15)</f>
        <v>4.6188021535170067</v>
      </c>
      <c r="S6" s="42" t="str">
        <f>IF(R6="","","bis")</f>
        <v>bis</v>
      </c>
      <c r="T6" s="18">
        <f>(((SQRT($Q6)*$B$3)/SQRT(3))*60000)/($B$12*$B$15)</f>
        <v>5.6568542494923797</v>
      </c>
      <c r="U6" s="132">
        <f>_1789l</f>
        <v>1</v>
      </c>
      <c r="V6" s="42" t="str">
        <f>IF(U6="","","bis")</f>
        <v>bis</v>
      </c>
      <c r="W6" s="18">
        <f>_1789m</f>
        <v>1</v>
      </c>
      <c r="X6" s="20">
        <f>(((SQRT($U6)*$B$3)/SQRT(3))*60000)/($B$12*$B$15)</f>
        <v>4.6188021535170067</v>
      </c>
      <c r="Y6" s="42" t="str">
        <f>IF(X6="","","bis")</f>
        <v>bis</v>
      </c>
      <c r="Z6" s="19">
        <f>(((SQRT($W6)*$B$3)/SQRT(3))*60000)/($B$12*$B$15)</f>
        <v>4.6188021535170067</v>
      </c>
      <c r="AA6" s="20"/>
      <c r="AB6" s="42" t="str">
        <f>IF(AA6="","","bis")</f>
        <v/>
      </c>
      <c r="AC6" s="18"/>
      <c r="AD6" s="20">
        <f>(((SQRT($AA6)*$B$3)/SQRT(3))*60000)/($B$12*$B$15)</f>
        <v>0</v>
      </c>
      <c r="AE6" s="42" t="s">
        <v>54</v>
      </c>
      <c r="AF6" s="19">
        <f>(((SQRT($AC6)*$B$3)/SQRT(3))*60000)/($B$12*$B$15)</f>
        <v>0</v>
      </c>
      <c r="AG6" s="133">
        <f>_1789f</f>
        <v>1</v>
      </c>
      <c r="AH6" s="42" t="str">
        <f>IF(AG6="","","bis")</f>
        <v>bis</v>
      </c>
      <c r="AI6" s="134">
        <f>_1789g</f>
        <v>6</v>
      </c>
    </row>
    <row r="7" spans="1:35" ht="18" thickBot="1" x14ac:dyDescent="0.35">
      <c r="A7" s="21">
        <v>7</v>
      </c>
      <c r="B7" s="17">
        <f>(((SQRT(B5)*$B$3)/SQRT(3))*$C$15)/$A7</f>
        <v>197.94866372215742</v>
      </c>
      <c r="C7" s="17">
        <f>(((SQRT(C5)*$B$3)/SQRT(3))*$C$15)/$A7</f>
        <v>395.89732744431484</v>
      </c>
      <c r="D7" s="17">
        <f>(((SQRT(D5)*$B$3)/SQRT(3))*$C$15)/$A7</f>
        <v>559.88336977901224</v>
      </c>
      <c r="E7" s="105"/>
      <c r="F7" s="106" t="str">
        <f>_b1789b</f>
        <v>Lechler</v>
      </c>
      <c r="G7" s="106" t="str">
        <f>_b1789t</f>
        <v>IDKT 120 05</v>
      </c>
      <c r="H7" s="106" t="str">
        <f>_b1789c</f>
        <v>IDKS 80 05</v>
      </c>
      <c r="I7" s="132">
        <f>_b1789h</f>
        <v>1</v>
      </c>
      <c r="J7" s="42" t="str">
        <f>IF(I7="","","bis")</f>
        <v>bis</v>
      </c>
      <c r="K7" s="18">
        <f>_b1789i</f>
        <v>3</v>
      </c>
      <c r="L7" s="20">
        <f>(((SQRT($I7)*$B$3)/SQRT(3))*60000)/($B$12*$B$15)</f>
        <v>4.6188021535170067</v>
      </c>
      <c r="M7" s="42" t="str">
        <f>IF(L7="","","bis")</f>
        <v>bis</v>
      </c>
      <c r="N7" s="18">
        <f>(((SQRT($K7)*$B$3)/SQRT(3))*60000)/($B$12*$B$15)</f>
        <v>8</v>
      </c>
      <c r="O7" s="132">
        <f>_b1789j</f>
        <v>1</v>
      </c>
      <c r="P7" s="42" t="str">
        <f>IF(O7="","","bis")</f>
        <v>bis</v>
      </c>
      <c r="Q7" s="18">
        <f>_b1789k</f>
        <v>1.5</v>
      </c>
      <c r="R7" s="20">
        <f>(((SQRT($O7)*$B$3)/SQRT(3))*60000)/($B$12*$B$15)</f>
        <v>4.6188021535170067</v>
      </c>
      <c r="S7" s="42" t="str">
        <f>IF(R7="","","bis")</f>
        <v>bis</v>
      </c>
      <c r="T7" s="18">
        <f>(((SQRT($Q7)*$B$3)/SQRT(3))*60000)/($B$12*$B$15)</f>
        <v>5.6568542494923797</v>
      </c>
      <c r="U7" s="132">
        <f>_b1789l</f>
        <v>1</v>
      </c>
      <c r="V7" s="42" t="str">
        <f>IF(U7="","","bis")</f>
        <v>bis</v>
      </c>
      <c r="W7" s="18">
        <f>_b1789m</f>
        <v>1</v>
      </c>
      <c r="X7" s="20">
        <f>(((SQRT($U7)*$B$3)/SQRT(3))*60000)/($B$12*$B$15)</f>
        <v>4.6188021535170067</v>
      </c>
      <c r="Y7" s="42" t="str">
        <f>IF(X7="","","bis")</f>
        <v>bis</v>
      </c>
      <c r="Z7" s="18">
        <f>(((SQRT($W7)*$B$3)/SQRT(3))*60000)/($B$12*$B$15)</f>
        <v>4.6188021535170067</v>
      </c>
      <c r="AA7" s="20"/>
      <c r="AB7" s="42" t="str">
        <f>IF(AA7="","","bis")</f>
        <v/>
      </c>
      <c r="AC7" s="18"/>
      <c r="AD7" s="20">
        <f>(((SQRT($AA7)*$B$3)/SQRT(3))*60000)/($B$12*$B$15)</f>
        <v>0</v>
      </c>
      <c r="AE7" s="19" t="s">
        <v>54</v>
      </c>
      <c r="AF7" s="19">
        <f>(((SQRT($AC7)*$B$3)/SQRT(3))*60000)/($B$12*$B$15)</f>
        <v>0</v>
      </c>
      <c r="AG7" s="133">
        <f>_b1789f</f>
        <v>1</v>
      </c>
      <c r="AH7" s="42" t="str">
        <f>IF(AG7="","","bis")</f>
        <v>bis</v>
      </c>
      <c r="AI7" s="134">
        <f>_b1789g</f>
        <v>6</v>
      </c>
    </row>
    <row r="8" spans="1:35" ht="18" thickBot="1" x14ac:dyDescent="0.35">
      <c r="A8" s="21">
        <v>8</v>
      </c>
      <c r="B8" s="17">
        <f>(((SQRT(B5)*$B$3)/SQRT(3))*$C$15)/$A8</f>
        <v>173.20508075688775</v>
      </c>
      <c r="C8" s="17">
        <f>(((SQRT(C5)*$B$3)/SQRT(3))*1200)/$A8</f>
        <v>346.41016151377551</v>
      </c>
      <c r="D8" s="17">
        <f>(((SQRT(D5)*$B$3)/SQRT(3))*1200)/$A8</f>
        <v>489.8979485566357</v>
      </c>
      <c r="E8" s="105"/>
      <c r="F8" s="106" t="str">
        <f>_2000b</f>
        <v>Lechler</v>
      </c>
      <c r="G8" s="106" t="str">
        <f>_2000t</f>
        <v>ID (3) 120 05</v>
      </c>
      <c r="H8" s="106" t="str">
        <f>_2000c</f>
        <v>IS 80 05</v>
      </c>
      <c r="I8" s="132">
        <f>_2000h</f>
        <v>2</v>
      </c>
      <c r="J8" s="42" t="str">
        <f>IF(I8="","","bis")</f>
        <v>bis</v>
      </c>
      <c r="K8" s="18">
        <f>_2000i</f>
        <v>5</v>
      </c>
      <c r="L8" s="20">
        <f>(((SQRT($I8)*$B$3)/SQRT(3))*60000)/($B$12*$B$15)</f>
        <v>6.5319726474218092</v>
      </c>
      <c r="M8" s="42" t="str">
        <f>IF(L8="","","bis")</f>
        <v>bis</v>
      </c>
      <c r="N8" s="18">
        <f>(((SQRT($K8)*$B$3)/SQRT(3))*60000)/($B$12*$B$15)</f>
        <v>10.327955589886447</v>
      </c>
      <c r="O8" s="132">
        <f>_2000j</f>
        <v>2</v>
      </c>
      <c r="P8" s="42" t="str">
        <f>IF(O8="","","bis")</f>
        <v>bis</v>
      </c>
      <c r="Q8" s="18">
        <f>_2000k</f>
        <v>3</v>
      </c>
      <c r="R8" s="20">
        <f>(((SQRT($O8)*$B$3)/SQRT(3))*60000)/($B$12*$B$15)</f>
        <v>6.5319726474218092</v>
      </c>
      <c r="S8" s="42" t="str">
        <f>IF(R8="","","bis")</f>
        <v>bis</v>
      </c>
      <c r="T8" s="18">
        <f>(((SQRT($Q8)*$B$3)/SQRT(3))*60000)/($B$12*$B$15)</f>
        <v>8</v>
      </c>
      <c r="U8" s="132">
        <f>_2000l</f>
        <v>2</v>
      </c>
      <c r="V8" s="42" t="str">
        <f>IF(U8="","","bis")</f>
        <v>bis</v>
      </c>
      <c r="W8" s="18">
        <f>_2000m</f>
        <v>3</v>
      </c>
      <c r="X8" s="20">
        <f>(((SQRT($U8)*$B$3)/SQRT(3))*60000)/($B$12*$B$15)</f>
        <v>6.5319726474218092</v>
      </c>
      <c r="Y8" s="42" t="str">
        <f>IF(X8="","","bis")</f>
        <v>bis</v>
      </c>
      <c r="Z8" s="18">
        <f>(((SQRT($W8)*$B$3)/SQRT(3))*60000)/($B$12*$B$15)</f>
        <v>8</v>
      </c>
      <c r="AA8" s="20"/>
      <c r="AB8" s="42" t="str">
        <f>IF(AA8="","","bis")</f>
        <v/>
      </c>
      <c r="AC8" s="18"/>
      <c r="AD8" s="20">
        <f>(((SQRT($AA8)*$B$3)/SQRT(3))*60000)/($B$12*$B$15)</f>
        <v>0</v>
      </c>
      <c r="AE8" s="19" t="s">
        <v>54</v>
      </c>
      <c r="AF8" s="19">
        <f>(((SQRT($AC8)*$B$3)/SQRT(3))*60000)/($B$12*$B$15)</f>
        <v>0</v>
      </c>
      <c r="AG8" s="133">
        <f>_2000f</f>
        <v>1</v>
      </c>
      <c r="AH8" s="42" t="str">
        <f>IF(AG8="","","bis")</f>
        <v>bis</v>
      </c>
      <c r="AI8" s="134">
        <f>_2000g</f>
        <v>8</v>
      </c>
    </row>
    <row r="9" spans="1:35" ht="18" thickBot="1" x14ac:dyDescent="0.35">
      <c r="A9" s="21">
        <v>9</v>
      </c>
      <c r="B9" s="17">
        <f>(((SQRT(B5)*$B$3)/SQRT(3))*$C$15)/$A9</f>
        <v>153.96007178390022</v>
      </c>
      <c r="C9" s="17">
        <f>(((SQRT(C5)*$B$3)/SQRT(3))*$C$15)/$A9</f>
        <v>307.92014356780044</v>
      </c>
      <c r="D9" s="17">
        <f>(((SQRT(D5)*$B$3)/SQRT(3))*$C$15)/$A9</f>
        <v>435.46484316145393</v>
      </c>
      <c r="E9" s="105"/>
      <c r="F9" s="106" t="str">
        <f>_b2000b</f>
        <v>Lechler</v>
      </c>
      <c r="G9" s="106" t="str">
        <f>_b2000t</f>
        <v>IDTA 120 05 C</v>
      </c>
      <c r="H9" s="106" t="str">
        <f>_b2000c</f>
        <v>IS 80 05</v>
      </c>
      <c r="I9" s="132">
        <f>_b2000h</f>
        <v>0</v>
      </c>
      <c r="J9" s="42" t="str">
        <f>IF(I9="","","bis")</f>
        <v>bis</v>
      </c>
      <c r="K9" s="18">
        <f>_b2000i</f>
        <v>0</v>
      </c>
      <c r="L9" s="20">
        <f>(((SQRT($I9)*$B$3)/SQRT(3))*60000)/($B$12*$B$15)</f>
        <v>0</v>
      </c>
      <c r="M9" s="42" t="str">
        <f>IF(L9="","","bis")</f>
        <v>bis</v>
      </c>
      <c r="N9" s="18">
        <f>(((SQRT($K9)*$B$3)/SQRT(3))*60000)/($B$12*$B$15)</f>
        <v>0</v>
      </c>
      <c r="O9" s="132">
        <f>_b2000j</f>
        <v>0</v>
      </c>
      <c r="P9" s="42" t="str">
        <f>IF(O9="","","bis")</f>
        <v>bis</v>
      </c>
      <c r="Q9" s="18">
        <f>_b2000k</f>
        <v>0</v>
      </c>
      <c r="R9" s="20">
        <f>(((SQRT($O9)*$B$3)/SQRT(3))*60000)/($B$12*$B$15)</f>
        <v>0</v>
      </c>
      <c r="S9" s="42" t="str">
        <f>IF(R9="","","bis")</f>
        <v>bis</v>
      </c>
      <c r="T9" s="18">
        <f>(((SQRT($Q9)*$B$3)/SQRT(3))*60000)/($B$12*$B$15)</f>
        <v>0</v>
      </c>
      <c r="U9" s="132">
        <f>_b2000l</f>
        <v>0</v>
      </c>
      <c r="V9" s="42" t="str">
        <f>IF(U9="","","bis")</f>
        <v>bis</v>
      </c>
      <c r="W9" s="18">
        <f>_b2000m</f>
        <v>0</v>
      </c>
      <c r="X9" s="20">
        <f>(((SQRT($U9)*$B$3)/SQRT(3))*60000)/($B$12*$B$15)</f>
        <v>0</v>
      </c>
      <c r="Y9" s="42" t="str">
        <f>IF(X9="","","bis")</f>
        <v>bis</v>
      </c>
      <c r="Z9" s="18">
        <f>(((SQRT($W9)*$B$3)/SQRT(3))*60000)/($B$12*$B$15)</f>
        <v>0</v>
      </c>
      <c r="AA9" s="20">
        <f>_b2000n</f>
        <v>1</v>
      </c>
      <c r="AB9" s="42" t="str">
        <f>IF(AA9="","","bis")</f>
        <v>bis</v>
      </c>
      <c r="AC9" s="18">
        <f>_b2000o</f>
        <v>1.5</v>
      </c>
      <c r="AD9" s="20">
        <f>(((SQRT($AA9)*$B$3)/SQRT(3))*60000)/($B$12*$B$15)</f>
        <v>4.6188021535170067</v>
      </c>
      <c r="AE9" s="19" t="s">
        <v>54</v>
      </c>
      <c r="AF9" s="19">
        <f>(((SQRT($AC9)*$B$3)/SQRT(3))*60000)/($B$12*$B$15)</f>
        <v>5.6568542494923797</v>
      </c>
      <c r="AG9" s="133">
        <f>_b2000f</f>
        <v>1</v>
      </c>
      <c r="AH9" s="42" t="str">
        <f>IF(AG9="","","bis")</f>
        <v>bis</v>
      </c>
      <c r="AI9" s="134">
        <f>_b2000g</f>
        <v>8</v>
      </c>
    </row>
    <row r="10" spans="1:35" ht="18" thickBot="1" x14ac:dyDescent="0.35">
      <c r="A10" s="22">
        <v>10</v>
      </c>
      <c r="B10" s="27">
        <f>(((SQRT(B5)*$B$3)/SQRT(3))*$C$15)/$A10</f>
        <v>138.5640646055102</v>
      </c>
      <c r="C10" s="27">
        <f>(((SQRT(C5)*$B$3)/SQRT(3))*$C$15)/$A10</f>
        <v>277.12812921102039</v>
      </c>
      <c r="D10" s="27">
        <f>(((SQRT(D5)*$B$3)/SQRT(3))*$C$15)/$A10</f>
        <v>391.91835884530855</v>
      </c>
      <c r="E10" s="105"/>
      <c r="F10" s="106"/>
      <c r="G10" s="106"/>
      <c r="H10" s="106"/>
      <c r="I10" s="132"/>
      <c r="J10" s="42" t="str">
        <f>IF(I10="","","bis")</f>
        <v/>
      </c>
      <c r="K10" s="18"/>
      <c r="L10" s="20">
        <f>(((SQRT($I10)*$B$3)/SQRT(3))*60000)/($B$12*$B$15)</f>
        <v>0</v>
      </c>
      <c r="M10" s="42" t="str">
        <f>IF(L10="","","bis")</f>
        <v>bis</v>
      </c>
      <c r="N10" s="18">
        <f>(((SQRT($K10)*$B$3)/SQRT(3))*60000)/($B$12*$B$15)</f>
        <v>0</v>
      </c>
      <c r="O10" s="20"/>
      <c r="P10" s="42" t="str">
        <f>IF(O10="","","bis")</f>
        <v/>
      </c>
      <c r="Q10" s="18"/>
      <c r="R10" s="20">
        <f>(((SQRT($O10)*$B$3)/SQRT(3))*60000)/($B$12*$B$15)</f>
        <v>0</v>
      </c>
      <c r="S10" s="42" t="str">
        <f>IF(R10="","","bis")</f>
        <v>bis</v>
      </c>
      <c r="T10" s="18">
        <f>(((SQRT($Q10)*$B$3)/SQRT(3))*60000)/($B$12*$B$15)</f>
        <v>0</v>
      </c>
      <c r="U10" s="20"/>
      <c r="V10" s="42" t="str">
        <f>IF(U10="","","bis")</f>
        <v/>
      </c>
      <c r="W10" s="18"/>
      <c r="X10" s="20">
        <f>(((SQRT($U10)*$B$3)/SQRT(3))*60000)/($B$12*$B$15)</f>
        <v>0</v>
      </c>
      <c r="Y10" s="42" t="str">
        <f>IF(X10="","","bis")</f>
        <v>bis</v>
      </c>
      <c r="Z10" s="18">
        <f>(((SQRT($W10)*$B$3)/SQRT(3))*60000)/($B$12*$B$15)</f>
        <v>0</v>
      </c>
      <c r="AA10" s="20"/>
      <c r="AB10" s="42" t="str">
        <f>IF(AA10="","","bis")</f>
        <v/>
      </c>
      <c r="AC10" s="18"/>
      <c r="AD10" s="20">
        <f>(((SQRT($AA10)*$B$3)/SQRT(3))*60000)/($B$12*$B$15)</f>
        <v>0</v>
      </c>
      <c r="AE10" s="19" t="s">
        <v>54</v>
      </c>
      <c r="AF10" s="19">
        <f>(((SQRT($AC10)*$B$3)/SQRT(3))*60000)/($B$12*$B$15)</f>
        <v>0</v>
      </c>
      <c r="AG10" s="133"/>
      <c r="AH10" s="42" t="str">
        <f>IF(AG10="","","bis")</f>
        <v/>
      </c>
      <c r="AI10" s="134"/>
    </row>
    <row r="11" spans="1:35" ht="18" thickBot="1" x14ac:dyDescent="0.35">
      <c r="J11" s="2"/>
    </row>
    <row r="12" spans="1:35" ht="18" thickBot="1" x14ac:dyDescent="0.35">
      <c r="A12" s="23" t="s">
        <v>56</v>
      </c>
      <c r="B12" s="8">
        <v>300</v>
      </c>
      <c r="C12" s="24"/>
      <c r="D12" s="167">
        <f>Tabelle1!A2</f>
        <v>200</v>
      </c>
    </row>
    <row r="13" spans="1:35" ht="18" thickBot="1" x14ac:dyDescent="0.35">
      <c r="A13" s="23" t="s">
        <v>57</v>
      </c>
      <c r="B13" s="25">
        <f>POWER(((SQRT(3)*$C$13)/$B$3),2)</f>
        <v>2.6367187499999996</v>
      </c>
      <c r="C13" s="26">
        <f>(B12*B14*B15)/60000</f>
        <v>1.875</v>
      </c>
      <c r="D13" s="25">
        <f>POWER(((SQRT(3)*$E$13)/$B$3),2)</f>
        <v>6.020833333333333</v>
      </c>
      <c r="E13" s="26">
        <f>(D12*D14*D15)/60000</f>
        <v>2.8333333333333335</v>
      </c>
    </row>
    <row r="14" spans="1:35" ht="18" thickBot="1" x14ac:dyDescent="0.35">
      <c r="A14" s="23" t="s">
        <v>58</v>
      </c>
      <c r="B14" s="9">
        <v>7.5</v>
      </c>
      <c r="D14" s="168">
        <f>Tabelle1!A4</f>
        <v>17</v>
      </c>
    </row>
    <row r="15" spans="1:35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  <row r="17" spans="6:35" ht="18" thickBot="1" x14ac:dyDescent="0.35"/>
    <row r="18" spans="6:35" ht="18" thickBot="1" x14ac:dyDescent="0.35">
      <c r="G18" s="109" t="str">
        <f>"05"</f>
        <v>05</v>
      </c>
      <c r="H18" s="108" t="str">
        <f>"04"</f>
        <v>04</v>
      </c>
      <c r="I18" s="381">
        <v>50</v>
      </c>
      <c r="J18" s="382"/>
      <c r="K18" s="382"/>
      <c r="L18" s="382"/>
      <c r="M18" s="382"/>
      <c r="N18" s="399"/>
      <c r="O18" s="383">
        <v>75</v>
      </c>
      <c r="P18" s="383"/>
      <c r="Q18" s="383"/>
      <c r="R18" s="383"/>
      <c r="S18" s="383"/>
      <c r="T18" s="400"/>
      <c r="U18" s="384">
        <v>90</v>
      </c>
      <c r="V18" s="385"/>
      <c r="W18" s="385"/>
      <c r="X18" s="385"/>
      <c r="Y18" s="385"/>
      <c r="Z18" s="401"/>
      <c r="AA18" s="411">
        <v>0.95</v>
      </c>
      <c r="AB18" s="412"/>
      <c r="AC18" s="412"/>
      <c r="AD18" s="412"/>
      <c r="AE18" s="412"/>
      <c r="AF18" s="413"/>
      <c r="AG18" s="391" t="s">
        <v>53</v>
      </c>
      <c r="AH18" s="392"/>
      <c r="AI18" s="393"/>
    </row>
    <row r="19" spans="6:35" ht="18" thickBot="1" x14ac:dyDescent="0.35">
      <c r="F19" s="13" t="s">
        <v>9</v>
      </c>
      <c r="G19" s="13" t="s">
        <v>200</v>
      </c>
      <c r="H19" s="13" t="s">
        <v>198</v>
      </c>
      <c r="I19" s="402" t="s">
        <v>14</v>
      </c>
      <c r="J19" s="403"/>
      <c r="K19" s="404"/>
      <c r="L19" s="381" t="s">
        <v>55</v>
      </c>
      <c r="M19" s="382"/>
      <c r="N19" s="399"/>
      <c r="O19" s="405" t="s">
        <v>14</v>
      </c>
      <c r="P19" s="383"/>
      <c r="Q19" s="400"/>
      <c r="R19" s="405" t="s">
        <v>55</v>
      </c>
      <c r="S19" s="383"/>
      <c r="T19" s="400"/>
      <c r="U19" s="384" t="s">
        <v>14</v>
      </c>
      <c r="V19" s="385"/>
      <c r="W19" s="401"/>
      <c r="X19" s="388" t="s">
        <v>55</v>
      </c>
      <c r="Y19" s="389"/>
      <c r="Z19" s="390"/>
      <c r="AA19" s="414" t="s">
        <v>14</v>
      </c>
      <c r="AB19" s="415"/>
      <c r="AC19" s="416"/>
      <c r="AD19" s="414" t="s">
        <v>55</v>
      </c>
      <c r="AE19" s="415"/>
      <c r="AF19" s="416"/>
      <c r="AG19" s="394"/>
      <c r="AH19" s="395"/>
      <c r="AI19" s="396"/>
    </row>
    <row r="20" spans="6:35" ht="18" thickBot="1" x14ac:dyDescent="0.35">
      <c r="F20" s="106" t="str">
        <f>_1893b</f>
        <v>Agrotop</v>
      </c>
      <c r="G20" s="106" t="str">
        <f>_1893t</f>
        <v>Airmix 110 05</v>
      </c>
      <c r="H20" s="106" t="str">
        <f>_1893c</f>
        <v>Airmix OC 80 04</v>
      </c>
      <c r="I20" s="132">
        <f>_1893h</f>
        <v>1</v>
      </c>
      <c r="J20" s="42" t="str">
        <f>IF(I20="","","bis")</f>
        <v>bis</v>
      </c>
      <c r="K20" s="19">
        <f>_1893i</f>
        <v>6</v>
      </c>
      <c r="L20" s="20">
        <f>(((SQRT($I20)*$B$3)/SQRT(3))*60000)/($B$12*$B$15)</f>
        <v>4.6188021535170067</v>
      </c>
      <c r="M20" s="42" t="str">
        <f>IF(L20="","","bis")</f>
        <v>bis</v>
      </c>
      <c r="N20" s="18">
        <f>(((SQRT($K20)*$B$3)/SQRT(3))*60000)/($B$12*$B$15)</f>
        <v>11.313708498984759</v>
      </c>
      <c r="O20" s="19">
        <f>_1893j</f>
        <v>1</v>
      </c>
      <c r="P20" s="42" t="str">
        <f>IF(O20="","","bis")</f>
        <v>bis</v>
      </c>
      <c r="Q20" s="18">
        <f>_1893k</f>
        <v>1.5</v>
      </c>
      <c r="R20" s="20">
        <f>(((SQRT($O20)*$B$3)/SQRT(3))*60000)/($B$12*$B$15)</f>
        <v>4.6188021535170067</v>
      </c>
      <c r="S20" s="42" t="str">
        <f>IF(R20="","","bis")</f>
        <v>bis</v>
      </c>
      <c r="T20" s="18">
        <f>(((SQRT($Q20)*$B$3)/SQRT(3))*60000)/($B$12*$B$15)</f>
        <v>5.6568542494923797</v>
      </c>
      <c r="U20" s="20">
        <f>_1893l</f>
        <v>1</v>
      </c>
      <c r="V20" s="42" t="str">
        <f>IF(U20="","","bis")</f>
        <v>bis</v>
      </c>
      <c r="W20" s="19">
        <f>_1893m</f>
        <v>1</v>
      </c>
      <c r="X20" s="20">
        <f>(((SQRT($U20)*$B$3)/SQRT(3))*60000)/($B$12*$B$15)</f>
        <v>4.6188021535170067</v>
      </c>
      <c r="Y20" s="42" t="str">
        <f>IF(X20="","","bis")</f>
        <v>bis</v>
      </c>
      <c r="Z20" s="19">
        <f>(((SQRT($W20)*$B$3)/SQRT(3))*60000)/($B$12*$B$15)</f>
        <v>4.6188021535170067</v>
      </c>
      <c r="AA20" s="20"/>
      <c r="AB20" s="42" t="str">
        <f>IF(AA20="","","bis")</f>
        <v/>
      </c>
      <c r="AC20" s="18"/>
      <c r="AD20" s="20">
        <f>(((SQRT($AA20)*$B$3)/SQRT(3))*60000)/($B$12*$B$15)</f>
        <v>0</v>
      </c>
      <c r="AE20" s="42" t="s">
        <v>54</v>
      </c>
      <c r="AF20" s="19">
        <f>(((SQRT($AC20)*$B$3)/SQRT(3))*60000)/($B$12*$B$15)</f>
        <v>0</v>
      </c>
      <c r="AG20" s="133">
        <f>_1893f</f>
        <v>1</v>
      </c>
      <c r="AH20" s="42" t="str">
        <f>IF(AG20="","","bis")</f>
        <v>bis</v>
      </c>
      <c r="AI20" s="134">
        <f>_1893g</f>
        <v>6</v>
      </c>
    </row>
    <row r="21" spans="6:35" ht="18" thickBot="1" x14ac:dyDescent="0.35">
      <c r="F21" s="106" t="str">
        <f>_b1893b</f>
        <v>Agrotop</v>
      </c>
      <c r="G21" s="106" t="str">
        <f>_b1893t</f>
        <v>SoftDrop 110 05</v>
      </c>
      <c r="H21" s="106" t="str">
        <f>_b1893c</f>
        <v>Airmix OC 80 04</v>
      </c>
      <c r="I21" s="132">
        <f>_b1893h</f>
        <v>2</v>
      </c>
      <c r="J21" s="42" t="str">
        <f>IF(I21="","","bis")</f>
        <v>bis</v>
      </c>
      <c r="K21" s="19">
        <f>_b1893i</f>
        <v>6</v>
      </c>
      <c r="L21" s="20">
        <f>(((SQRT($I21)*$B$3)/SQRT(3))*60000)/($B$12*$B$15)</f>
        <v>6.5319726474218092</v>
      </c>
      <c r="M21" s="42" t="str">
        <f>IF(L21="","","bis")</f>
        <v>bis</v>
      </c>
      <c r="N21" s="18">
        <f>(((SQRT($K21)*$B$3)/SQRT(3))*60000)/($B$12*$B$15)</f>
        <v>11.313708498984759</v>
      </c>
      <c r="O21" s="19">
        <f>_b1893j</f>
        <v>2</v>
      </c>
      <c r="P21" s="42" t="str">
        <f>IF(O21="","","bis")</f>
        <v>bis</v>
      </c>
      <c r="Q21" s="18">
        <f>_b1893k</f>
        <v>5</v>
      </c>
      <c r="R21" s="20">
        <f>(((SQRT($O21)*$B$3)/SQRT(3))*60000)/($B$12*$B$15)</f>
        <v>6.5319726474218092</v>
      </c>
      <c r="S21" s="42" t="str">
        <f>IF(R21="","","bis")</f>
        <v>bis</v>
      </c>
      <c r="T21" s="18">
        <f>(((SQRT($Q21)*$B$3)/SQRT(3))*60000)/($B$12*$B$15)</f>
        <v>10.327955589886447</v>
      </c>
      <c r="U21" s="20">
        <f>_b1893l</f>
        <v>2</v>
      </c>
      <c r="V21" s="42" t="str">
        <f>IF(U21="","","bis")</f>
        <v>bis</v>
      </c>
      <c r="W21" s="19">
        <f>_b1893m</f>
        <v>2.5</v>
      </c>
      <c r="X21" s="20">
        <f>(((SQRT($U21)*$B$3)/SQRT(3))*60000)/($B$12*$B$15)</f>
        <v>6.5319726474218092</v>
      </c>
      <c r="Y21" s="42" t="str">
        <f>IF(X21="","","bis")</f>
        <v>bis</v>
      </c>
      <c r="Z21" s="18">
        <f>(((SQRT($W21)*$B$3)/SQRT(3))*60000)/($B$12*$B$15)</f>
        <v>7.3029674334022161</v>
      </c>
      <c r="AA21" s="20"/>
      <c r="AB21" s="42" t="str">
        <f>IF(AA21="","","bis")</f>
        <v/>
      </c>
      <c r="AC21" s="18"/>
      <c r="AD21" s="20">
        <f>(((SQRT($AA21)*$B$3)/SQRT(3))*60000)/($B$12*$B$15)</f>
        <v>0</v>
      </c>
      <c r="AE21" s="19" t="s">
        <v>54</v>
      </c>
      <c r="AF21" s="19">
        <f>(((SQRT($AC21)*$B$3)/SQRT(3))*60000)/($B$12*$B$15)</f>
        <v>0</v>
      </c>
      <c r="AG21" s="133">
        <f>_b1893f</f>
        <v>2</v>
      </c>
      <c r="AH21" s="42" t="str">
        <f>IF(AG21="","","bis")</f>
        <v>bis</v>
      </c>
      <c r="AI21" s="134">
        <f>_b1893g</f>
        <v>6</v>
      </c>
    </row>
    <row r="22" spans="6:35" ht="18" thickBot="1" x14ac:dyDescent="0.35">
      <c r="F22" s="106" t="str">
        <f>_1758b</f>
        <v>TeeJet</v>
      </c>
      <c r="G22" s="106" t="str">
        <f>_1758t</f>
        <v>AI 110 05</v>
      </c>
      <c r="H22" s="106" t="str">
        <f>_1758c</f>
        <v>AIUB 85 04</v>
      </c>
      <c r="I22" s="132">
        <f>_1758h</f>
        <v>2</v>
      </c>
      <c r="J22" s="42" t="str">
        <f>IF(I22="","","bis")</f>
        <v>bis</v>
      </c>
      <c r="K22" s="19">
        <f>_1758i</f>
        <v>5</v>
      </c>
      <c r="L22" s="20">
        <f>(((SQRT($I22)*$B$3)/SQRT(3))*60000)/($B$12*$B$15)</f>
        <v>6.5319726474218092</v>
      </c>
      <c r="M22" s="42" t="str">
        <f>IF(L22="","","bis")</f>
        <v>bis</v>
      </c>
      <c r="N22" s="18">
        <f>(((SQRT($K22)*$B$3)/SQRT(3))*60000)/($B$12*$B$15)</f>
        <v>10.327955589886447</v>
      </c>
      <c r="O22" s="19">
        <f>_1758j</f>
        <v>2</v>
      </c>
      <c r="P22" s="42" t="str">
        <f>IF(O22="","","bis")</f>
        <v>bis</v>
      </c>
      <c r="Q22" s="18">
        <f>_1758k</f>
        <v>3</v>
      </c>
      <c r="R22" s="20">
        <f>(((SQRT($O22)*$B$3)/SQRT(3))*60000)/($B$12*$B$15)</f>
        <v>6.5319726474218092</v>
      </c>
      <c r="S22" s="42" t="str">
        <f>IF(R22="","","bis")</f>
        <v>bis</v>
      </c>
      <c r="T22" s="18">
        <f>(((SQRT($Q22)*$B$3)/SQRT(3))*60000)/($B$12*$B$15)</f>
        <v>8</v>
      </c>
      <c r="U22" s="20">
        <f>_1758l</f>
        <v>2</v>
      </c>
      <c r="V22" s="42" t="str">
        <f>IF(U22="","","bis")</f>
        <v>bis</v>
      </c>
      <c r="W22" s="19">
        <f>_1758m</f>
        <v>2.5</v>
      </c>
      <c r="X22" s="20">
        <f>(((SQRT($U22)*$B$3)/SQRT(3))*60000)/($B$12*$B$15)</f>
        <v>6.5319726474218092</v>
      </c>
      <c r="Y22" s="42" t="str">
        <f>IF(X22="","","bis")</f>
        <v>bis</v>
      </c>
      <c r="Z22" s="18">
        <f>(((SQRT($W22)*$B$3)/SQRT(3))*60000)/($B$12*$B$15)</f>
        <v>7.3029674334022161</v>
      </c>
      <c r="AA22" s="20"/>
      <c r="AB22" s="42" t="str">
        <f>IF(AA22="","","bis")</f>
        <v/>
      </c>
      <c r="AC22" s="18"/>
      <c r="AD22" s="20">
        <f>(((SQRT($AA22)*$B$3)/SQRT(3))*60000)/($B$12*$B$15)</f>
        <v>0</v>
      </c>
      <c r="AE22" s="19" t="s">
        <v>54</v>
      </c>
      <c r="AF22" s="19">
        <f>(((SQRT($AC22)*$B$3)/SQRT(3))*60000)/($B$12*$B$15)</f>
        <v>0</v>
      </c>
      <c r="AG22" s="133">
        <f>_1758f</f>
        <v>2</v>
      </c>
      <c r="AH22" s="42" t="str">
        <f>IF(AG22="","","bis")</f>
        <v>bis</v>
      </c>
      <c r="AI22" s="134">
        <f>_1758g</f>
        <v>8</v>
      </c>
    </row>
    <row r="23" spans="6:35" ht="18" thickBot="1" x14ac:dyDescent="0.35">
      <c r="F23" s="106" t="str">
        <f>_b1758b</f>
        <v>TeeJet</v>
      </c>
      <c r="G23" s="106" t="str">
        <f>_b1758t</f>
        <v>AIC 110 05</v>
      </c>
      <c r="H23" s="106" t="str">
        <f>_b1758c</f>
        <v>AIUB 85 04</v>
      </c>
      <c r="I23" s="132">
        <f>_b1758h</f>
        <v>2</v>
      </c>
      <c r="J23" s="42" t="str">
        <f>IF(I23="","","bis")</f>
        <v>bis</v>
      </c>
      <c r="K23" s="19">
        <f>_b1758i</f>
        <v>5</v>
      </c>
      <c r="L23" s="20">
        <f>(((SQRT($I23)*$B$3)/SQRT(3))*60000)/($B$12*$B$15)</f>
        <v>6.5319726474218092</v>
      </c>
      <c r="M23" s="42" t="str">
        <f>IF(L23="","","bis")</f>
        <v>bis</v>
      </c>
      <c r="N23" s="18">
        <f>(((SQRT($K23)*$B$3)/SQRT(3))*60000)/($B$12*$B$15)</f>
        <v>10.327955589886447</v>
      </c>
      <c r="O23" s="19">
        <f>_b1758j</f>
        <v>2</v>
      </c>
      <c r="P23" s="42" t="str">
        <f>IF(O23="","","bis")</f>
        <v>bis</v>
      </c>
      <c r="Q23" s="18">
        <f>_b1758k</f>
        <v>3</v>
      </c>
      <c r="R23" s="20">
        <f>(((SQRT($O23)*$B$3)/SQRT(3))*60000)/($B$12*$B$15)</f>
        <v>6.5319726474218092</v>
      </c>
      <c r="S23" s="42" t="str">
        <f>IF(R23="","","bis")</f>
        <v>bis</v>
      </c>
      <c r="T23" s="18">
        <f>(((SQRT($Q23)*$B$3)/SQRT(3))*60000)/($B$12*$B$15)</f>
        <v>8</v>
      </c>
      <c r="U23" s="20">
        <f>_b1758l</f>
        <v>2</v>
      </c>
      <c r="V23" s="42" t="str">
        <f>IF(U23="","","bis")</f>
        <v>bis</v>
      </c>
      <c r="W23" s="19">
        <f>_b1758m</f>
        <v>2.5</v>
      </c>
      <c r="X23" s="20">
        <f>(((SQRT($U23)*$B$3)/SQRT(3))*60000)/($B$12*$B$15)</f>
        <v>6.5319726474218092</v>
      </c>
      <c r="Y23" s="42" t="str">
        <f>IF(X23="","","bis")</f>
        <v>bis</v>
      </c>
      <c r="Z23" s="18">
        <f>(((SQRT($W23)*$B$3)/SQRT(3))*60000)/($B$12*$B$15)</f>
        <v>7.3029674334022161</v>
      </c>
      <c r="AA23" s="20"/>
      <c r="AB23" s="42" t="str">
        <f>IF(AA23="","","bis")</f>
        <v/>
      </c>
      <c r="AC23" s="18"/>
      <c r="AD23" s="20">
        <f>(((SQRT($AA23)*$B$3)/SQRT(3))*60000)/($B$12*$B$15)</f>
        <v>0</v>
      </c>
      <c r="AE23" s="19" t="s">
        <v>54</v>
      </c>
      <c r="AF23" s="19">
        <f>(((SQRT($AC23)*$B$3)/SQRT(3))*60000)/($B$12*$B$15)</f>
        <v>0</v>
      </c>
      <c r="AG23" s="133">
        <f>_b1758f</f>
        <v>2</v>
      </c>
      <c r="AH23" s="42" t="str">
        <f>IF(AG23="","","bis")</f>
        <v>bis</v>
      </c>
      <c r="AI23" s="134">
        <f>_b1758g</f>
        <v>8</v>
      </c>
    </row>
    <row r="24" spans="6:35" ht="18" thickBot="1" x14ac:dyDescent="0.35">
      <c r="F24" s="106"/>
      <c r="G24" s="106"/>
      <c r="H24" s="106"/>
      <c r="I24" s="132"/>
      <c r="J24" s="42" t="str">
        <f>IF(I24="","","bis")</f>
        <v/>
      </c>
      <c r="K24" s="18"/>
      <c r="L24" s="20">
        <f>(((SQRT($I24)*$B$3)/SQRT(3))*60000)/($B$12*$B$15)</f>
        <v>0</v>
      </c>
      <c r="M24" s="42" t="str">
        <f>IF(L24="","","bis")</f>
        <v>bis</v>
      </c>
      <c r="N24" s="18">
        <f>(((SQRT($K24)*$B$3)/SQRT(3))*60000)/($B$12*$B$15)</f>
        <v>0</v>
      </c>
      <c r="O24" s="20"/>
      <c r="P24" s="42" t="str">
        <f>IF(O24="","","bis")</f>
        <v/>
      </c>
      <c r="Q24" s="18"/>
      <c r="R24" s="20">
        <f>(((SQRT($O24)*$B$3)/SQRT(3))*60000)/($B$12*$B$15)</f>
        <v>0</v>
      </c>
      <c r="S24" s="42" t="str">
        <f>IF(R24="","","bis")</f>
        <v>bis</v>
      </c>
      <c r="T24" s="18">
        <f>(((SQRT($Q24)*$B$3)/SQRT(3))*60000)/($B$12*$B$15)</f>
        <v>0</v>
      </c>
      <c r="U24" s="20"/>
      <c r="V24" s="42" t="str">
        <f>IF(U24="","","bis")</f>
        <v/>
      </c>
      <c r="W24" s="18"/>
      <c r="X24" s="20">
        <f>(((SQRT($U24)*$B$3)/SQRT(3))*60000)/($B$12*$B$15)</f>
        <v>0</v>
      </c>
      <c r="Y24" s="42" t="str">
        <f>IF(X24="","","bis")</f>
        <v>bis</v>
      </c>
      <c r="Z24" s="18">
        <f>(((SQRT($W24)*$B$3)/SQRT(3))*60000)/($B$12*$B$15)</f>
        <v>0</v>
      </c>
      <c r="AA24" s="20"/>
      <c r="AB24" s="42" t="str">
        <f>IF(AA24="","","bis")</f>
        <v/>
      </c>
      <c r="AC24" s="18"/>
      <c r="AD24" s="20">
        <f>(((SQRT($AA24)*$B$3)/SQRT(3))*60000)/($B$12*$B$15)</f>
        <v>0</v>
      </c>
      <c r="AE24" s="19" t="s">
        <v>54</v>
      </c>
      <c r="AF24" s="19">
        <f>(((SQRT($AC24)*$B$3)/SQRT(3))*60000)/($B$12*$B$15)</f>
        <v>0</v>
      </c>
      <c r="AG24" s="133"/>
      <c r="AH24" s="42" t="str">
        <f>IF(AG24="","","bis")</f>
        <v/>
      </c>
      <c r="AI24" s="134"/>
    </row>
  </sheetData>
  <sheetProtection algorithmName="SHA-512" hashValue="5ENtI9yycWSnuZTQ41XSVcnFBD/VFvd2pNH0KrzOWq22TjC3U/OTMRU2u317xgVII4wv7HRaGo6hhFqcmHXxxA==" saltValue="eMWN/vA2QtEI2pdMm7UmDA==" spinCount="100000" sheet="1" objects="1" scenarios="1"/>
  <mergeCells count="27">
    <mergeCell ref="B3:D3"/>
    <mergeCell ref="I4:N4"/>
    <mergeCell ref="O4:T4"/>
    <mergeCell ref="U4:Z4"/>
    <mergeCell ref="AG4:AI5"/>
    <mergeCell ref="I5:K5"/>
    <mergeCell ref="L5:N5"/>
    <mergeCell ref="O5:Q5"/>
    <mergeCell ref="R5:T5"/>
    <mergeCell ref="U5:W5"/>
    <mergeCell ref="X5:Z5"/>
    <mergeCell ref="AA4:AF4"/>
    <mergeCell ref="AA5:AC5"/>
    <mergeCell ref="AD5:AF5"/>
    <mergeCell ref="AG18:AI19"/>
    <mergeCell ref="I19:K19"/>
    <mergeCell ref="L19:N19"/>
    <mergeCell ref="O19:Q19"/>
    <mergeCell ref="R19:T19"/>
    <mergeCell ref="U19:W19"/>
    <mergeCell ref="X19:Z19"/>
    <mergeCell ref="I18:N18"/>
    <mergeCell ref="O18:T18"/>
    <mergeCell ref="U18:Z18"/>
    <mergeCell ref="AA18:AF18"/>
    <mergeCell ref="AA19:AC19"/>
    <mergeCell ref="AD19:AF19"/>
  </mergeCells>
  <conditionalFormatting sqref="B9 E6:E10">
    <cfRule type="cellIs" dxfId="156" priority="8" operator="greaterThan">
      <formula>$B$12</formula>
    </cfRule>
  </conditionalFormatting>
  <conditionalFormatting sqref="C6">
    <cfRule type="cellIs" dxfId="155" priority="14" operator="greaterThan">
      <formula>$B$12</formula>
    </cfRule>
  </conditionalFormatting>
  <conditionalFormatting sqref="B6">
    <cfRule type="cellIs" dxfId="154" priority="15" operator="greaterThan">
      <formula>$B$12</formula>
    </cfRule>
  </conditionalFormatting>
  <conditionalFormatting sqref="B7">
    <cfRule type="cellIs" dxfId="153" priority="12" operator="greaterThan">
      <formula>$B$12</formula>
    </cfRule>
  </conditionalFormatting>
  <conditionalFormatting sqref="D10">
    <cfRule type="cellIs" dxfId="152" priority="1" operator="greaterThan">
      <formula>$B$12</formula>
    </cfRule>
  </conditionalFormatting>
  <conditionalFormatting sqref="D6">
    <cfRule type="cellIs" dxfId="151" priority="13" operator="greaterThan">
      <formula>$B$12</formula>
    </cfRule>
  </conditionalFormatting>
  <conditionalFormatting sqref="C7">
    <cfRule type="cellIs" dxfId="150" priority="11" operator="greaterThan">
      <formula>$B$12</formula>
    </cfRule>
  </conditionalFormatting>
  <conditionalFormatting sqref="D7">
    <cfRule type="cellIs" dxfId="149" priority="10" operator="greaterThan">
      <formula>$B$12</formula>
    </cfRule>
  </conditionalFormatting>
  <conditionalFormatting sqref="B8">
    <cfRule type="cellIs" dxfId="148" priority="9" operator="greaterThan">
      <formula>$B$12</formula>
    </cfRule>
  </conditionalFormatting>
  <conditionalFormatting sqref="B10">
    <cfRule type="cellIs" dxfId="147" priority="7" operator="greaterThan">
      <formula>$B$12</formula>
    </cfRule>
  </conditionalFormatting>
  <conditionalFormatting sqref="C8">
    <cfRule type="cellIs" dxfId="146" priority="6" operator="greaterThan">
      <formula>$B$12</formula>
    </cfRule>
  </conditionalFormatting>
  <conditionalFormatting sqref="D8">
    <cfRule type="cellIs" dxfId="145" priority="5" operator="greaterThan">
      <formula>$B$12</formula>
    </cfRule>
  </conditionalFormatting>
  <conditionalFormatting sqref="C9">
    <cfRule type="cellIs" dxfId="144" priority="4" operator="greaterThan">
      <formula>$B$12</formula>
    </cfRule>
  </conditionalFormatting>
  <conditionalFormatting sqref="D9">
    <cfRule type="cellIs" dxfId="143" priority="3" operator="greaterThan">
      <formula>$B$12</formula>
    </cfRule>
  </conditionalFormatting>
  <conditionalFormatting sqref="C10">
    <cfRule type="cellIs" dxfId="14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9.88671875" style="11" bestFit="1" customWidth="1"/>
    <col min="8" max="8" width="21.5546875" style="11" bestFit="1" customWidth="1"/>
    <col min="9" max="14" width="6.6640625" style="11" customWidth="1"/>
    <col min="15" max="20" width="6.6640625" style="12" customWidth="1"/>
    <col min="21" max="32" width="6.6640625" style="11" customWidth="1"/>
    <col min="33" max="33" width="10.33203125" style="11" customWidth="1"/>
    <col min="34" max="34" width="6.6640625" style="11" customWidth="1"/>
    <col min="35" max="16384" width="11.44140625" style="11"/>
  </cols>
  <sheetData>
    <row r="1" spans="1:36" x14ac:dyDescent="0.3">
      <c r="A1" s="10"/>
    </row>
    <row r="2" spans="1:36" ht="18" thickBot="1" x14ac:dyDescent="0.35"/>
    <row r="3" spans="1:36" ht="18" thickBot="1" x14ac:dyDescent="0.35">
      <c r="A3" s="36" t="s">
        <v>67</v>
      </c>
      <c r="B3" s="434">
        <v>2</v>
      </c>
      <c r="C3" s="434"/>
      <c r="D3" s="435"/>
    </row>
    <row r="4" spans="1:36" ht="18" thickBot="1" x14ac:dyDescent="0.35">
      <c r="G4" s="109" t="str">
        <f>"05"</f>
        <v>05</v>
      </c>
      <c r="H4" s="109" t="str">
        <f>"05"</f>
        <v>05</v>
      </c>
      <c r="I4" s="381">
        <v>50</v>
      </c>
      <c r="J4" s="382"/>
      <c r="K4" s="382"/>
      <c r="L4" s="382"/>
      <c r="M4" s="382"/>
      <c r="N4" s="399"/>
      <c r="O4" s="383">
        <v>75</v>
      </c>
      <c r="P4" s="383"/>
      <c r="Q4" s="383"/>
      <c r="R4" s="383"/>
      <c r="S4" s="383"/>
      <c r="T4" s="400"/>
      <c r="U4" s="384">
        <v>90</v>
      </c>
      <c r="V4" s="385"/>
      <c r="W4" s="385"/>
      <c r="X4" s="385"/>
      <c r="Y4" s="385"/>
      <c r="Z4" s="401"/>
      <c r="AA4" s="411">
        <v>0.95</v>
      </c>
      <c r="AB4" s="412"/>
      <c r="AC4" s="412"/>
      <c r="AD4" s="412"/>
      <c r="AE4" s="412"/>
      <c r="AF4" s="413"/>
      <c r="AG4" s="391" t="s">
        <v>53</v>
      </c>
      <c r="AH4" s="392"/>
      <c r="AI4" s="393"/>
    </row>
    <row r="5" spans="1:36" ht="18" thickBot="1" x14ac:dyDescent="0.35">
      <c r="A5" s="13" t="s">
        <v>52</v>
      </c>
      <c r="B5" s="14">
        <v>1</v>
      </c>
      <c r="C5" s="15">
        <v>4</v>
      </c>
      <c r="D5" s="15">
        <v>8</v>
      </c>
      <c r="E5" s="104"/>
      <c r="F5" s="13" t="s">
        <v>9</v>
      </c>
      <c r="G5" s="13" t="s">
        <v>200</v>
      </c>
      <c r="H5" s="13" t="s">
        <v>223</v>
      </c>
      <c r="I5" s="402" t="s">
        <v>14</v>
      </c>
      <c r="J5" s="403"/>
      <c r="K5" s="404"/>
      <c r="L5" s="381" t="s">
        <v>55</v>
      </c>
      <c r="M5" s="382"/>
      <c r="N5" s="399"/>
      <c r="O5" s="405" t="s">
        <v>14</v>
      </c>
      <c r="P5" s="383"/>
      <c r="Q5" s="400"/>
      <c r="R5" s="405" t="s">
        <v>55</v>
      </c>
      <c r="S5" s="383"/>
      <c r="T5" s="400"/>
      <c r="U5" s="384" t="s">
        <v>14</v>
      </c>
      <c r="V5" s="385"/>
      <c r="W5" s="401"/>
      <c r="X5" s="388" t="s">
        <v>55</v>
      </c>
      <c r="Y5" s="389"/>
      <c r="Z5" s="390"/>
      <c r="AA5" s="414" t="s">
        <v>14</v>
      </c>
      <c r="AB5" s="415"/>
      <c r="AC5" s="416"/>
      <c r="AD5" s="414" t="s">
        <v>55</v>
      </c>
      <c r="AE5" s="415"/>
      <c r="AF5" s="416"/>
      <c r="AG5" s="394"/>
      <c r="AH5" s="395"/>
      <c r="AI5" s="396"/>
    </row>
    <row r="6" spans="1:36" ht="18" thickBot="1" x14ac:dyDescent="0.35">
      <c r="A6" s="16">
        <v>6</v>
      </c>
      <c r="B6" s="17">
        <f>(((SQRT(B5)*$B$3)/SQRT(3))*$C$15)/$A6</f>
        <v>230.94010767585033</v>
      </c>
      <c r="C6" s="17">
        <f>(((SQRT(C5)*$B$3)/SQRT(3))*$C$15)/$A6</f>
        <v>461.88021535170066</v>
      </c>
      <c r="D6" s="17">
        <f>(((SQRT(D5)*$B$3)/SQRT(3))*$C$15)/$A6</f>
        <v>653.19726474218089</v>
      </c>
      <c r="E6" s="105"/>
      <c r="F6" s="106" t="str">
        <f>_2022b</f>
        <v>Lechler</v>
      </c>
      <c r="G6" s="106" t="str">
        <f>_2022c</f>
        <v>IDTA 120 05 C</v>
      </c>
      <c r="H6" s="106" t="str">
        <f>_2022t</f>
        <v>ID (3) 120 05</v>
      </c>
      <c r="I6" s="132">
        <f>_2022h</f>
        <v>0</v>
      </c>
      <c r="J6" s="42" t="str">
        <f>IF(I6="","","bis")</f>
        <v>bis</v>
      </c>
      <c r="K6" s="18">
        <f>_2022i</f>
        <v>0</v>
      </c>
      <c r="L6" s="20">
        <f>(((SQRT($I6)*$B$3)/SQRT(3))*60000)/($B$12*$B$15)</f>
        <v>0</v>
      </c>
      <c r="M6" s="42" t="str">
        <f>IF(L6="","","bis")</f>
        <v>bis</v>
      </c>
      <c r="N6" s="18">
        <f>(((SQRT($K6)*$B$3)/SQRT(3))*60000)/($B$12*$B$15)</f>
        <v>0</v>
      </c>
      <c r="O6" s="132">
        <f>_2022j</f>
        <v>0</v>
      </c>
      <c r="P6" s="42" t="str">
        <f>IF(O6="","","bis")</f>
        <v>bis</v>
      </c>
      <c r="Q6" s="18">
        <f>_2022k</f>
        <v>0</v>
      </c>
      <c r="R6" s="20">
        <f>(((SQRT($O6)*$B$3)/SQRT(3))*60000)/($B$12*$B$15)</f>
        <v>0</v>
      </c>
      <c r="S6" s="42" t="str">
        <f>IF(R6="","","bis")</f>
        <v>bis</v>
      </c>
      <c r="T6" s="18">
        <f>(((SQRT($Q6)*$B$3)/SQRT(3))*60000)/($B$12*$B$15)</f>
        <v>0</v>
      </c>
      <c r="U6" s="132">
        <f>_2022l</f>
        <v>0</v>
      </c>
      <c r="V6" s="42" t="str">
        <f>IF(U6="","","bis")</f>
        <v>bis</v>
      </c>
      <c r="W6" s="18">
        <f>_2022m</f>
        <v>0</v>
      </c>
      <c r="X6" s="20">
        <f>(((SQRT($U6)*$B$3)/SQRT(3))*60000)/($B$12*$B$15)</f>
        <v>0</v>
      </c>
      <c r="Y6" s="42" t="str">
        <f>IF(X6="","","bis")</f>
        <v>bis</v>
      </c>
      <c r="Z6" s="19">
        <f>(((SQRT($W6)*$B$3)/SQRT(3))*60000)/($B$12*$B$15)</f>
        <v>0</v>
      </c>
      <c r="AA6" s="20">
        <f>_2022n</f>
        <v>1</v>
      </c>
      <c r="AB6" s="42" t="str">
        <f>IF(AA6="","","bis")</f>
        <v>bis</v>
      </c>
      <c r="AC6" s="18">
        <f>_2022o</f>
        <v>1.5</v>
      </c>
      <c r="AD6" s="20">
        <f>(((SQRT($AA6)*$B$3)/SQRT(3))*60000)/($B$12*$B$15)</f>
        <v>4.6188021535170067</v>
      </c>
      <c r="AE6" s="42" t="s">
        <v>54</v>
      </c>
      <c r="AF6" s="19">
        <f>(((SQRT($AC6)*$B$3)/SQRT(3))*60000)/($B$12*$B$15)</f>
        <v>5.6568542494923797</v>
      </c>
      <c r="AG6" s="133">
        <f>_2022f</f>
        <v>1</v>
      </c>
      <c r="AH6" s="42" t="str">
        <f>IF(AG6="","","bis")</f>
        <v>bis</v>
      </c>
      <c r="AI6" s="134">
        <f>_2022g</f>
        <v>8</v>
      </c>
    </row>
    <row r="7" spans="1:36" ht="18" thickBot="1" x14ac:dyDescent="0.35">
      <c r="A7" s="21">
        <v>7</v>
      </c>
      <c r="B7" s="17">
        <f>(((SQRT(B5)*$B$3)/SQRT(3))*$C$15)/$A7</f>
        <v>197.94866372215742</v>
      </c>
      <c r="C7" s="17">
        <f>(((SQRT(C5)*$B$3)/SQRT(3))*$C$15)/$A7</f>
        <v>395.89732744431484</v>
      </c>
      <c r="D7" s="17">
        <f>(((SQRT(D5)*$B$3)/SQRT(3))*$C$15)/$A7</f>
        <v>559.88336977901224</v>
      </c>
      <c r="E7" s="105"/>
      <c r="F7" s="106" t="str">
        <f>_1934b</f>
        <v>Lechler</v>
      </c>
      <c r="G7" s="106" t="str">
        <f>_1934c</f>
        <v>IDKT 120 05</v>
      </c>
      <c r="H7" s="106" t="str">
        <f>_1934t</f>
        <v>IDK 120 05</v>
      </c>
      <c r="I7" s="132">
        <f>_1934h</f>
        <v>1</v>
      </c>
      <c r="J7" s="42" t="str">
        <f>IF(I7="","","bis")</f>
        <v>bis</v>
      </c>
      <c r="K7" s="18">
        <f>_1934i</f>
        <v>3</v>
      </c>
      <c r="L7" s="20">
        <f>(((SQRT($I7)*$B$3)/SQRT(3))*60000)/($B$12*$B$15)</f>
        <v>4.6188021535170067</v>
      </c>
      <c r="M7" s="42" t="str">
        <f>IF(L7="","","bis")</f>
        <v>bis</v>
      </c>
      <c r="N7" s="18">
        <f>(((SQRT($K7)*$B$3)/SQRT(3))*60000)/($B$12*$B$15)</f>
        <v>8</v>
      </c>
      <c r="O7" s="132">
        <f>_1934j</f>
        <v>1</v>
      </c>
      <c r="P7" s="42" t="str">
        <f>IF(O7="","","bis")</f>
        <v>bis</v>
      </c>
      <c r="Q7" s="18">
        <f>_1934k</f>
        <v>1.5</v>
      </c>
      <c r="R7" s="20">
        <f>(((SQRT($O7)*$B$3)/SQRT(3))*60000)/($B$12*$B$15)</f>
        <v>4.6188021535170067</v>
      </c>
      <c r="S7" s="42" t="str">
        <f>IF(R7="","","bis")</f>
        <v>bis</v>
      </c>
      <c r="T7" s="18">
        <f>(((SQRT($Q7)*$B$3)/SQRT(3))*60000)/($B$12*$B$15)</f>
        <v>5.6568542494923797</v>
      </c>
      <c r="U7" s="132">
        <f>_1934k</f>
        <v>1.5</v>
      </c>
      <c r="V7" s="42" t="str">
        <f>IF(U7="","","bis")</f>
        <v>bis</v>
      </c>
      <c r="W7" s="18">
        <f>_1934l</f>
        <v>1</v>
      </c>
      <c r="X7" s="20">
        <f>(((SQRT($U7)*$B$3)/SQRT(3))*60000)/($B$12*$B$15)</f>
        <v>5.6568542494923797</v>
      </c>
      <c r="Y7" s="42" t="str">
        <f>IF(X7="","","bis")</f>
        <v>bis</v>
      </c>
      <c r="Z7" s="18">
        <f>(((SQRT($W7)*$B$3)/SQRT(3))*60000)/($B$12*$B$15)</f>
        <v>4.6188021535170067</v>
      </c>
      <c r="AA7" s="20"/>
      <c r="AB7" s="42" t="str">
        <f>IF(AA7="","","bis")</f>
        <v/>
      </c>
      <c r="AC7" s="18"/>
      <c r="AD7" s="20">
        <f>(((SQRT($AA7)*$B$3)/SQRT(3))*60000)/($B$12*$B$15)</f>
        <v>0</v>
      </c>
      <c r="AE7" s="19" t="s">
        <v>54</v>
      </c>
      <c r="AF7" s="19">
        <f>(((SQRT($AC7)*$B$3)/SQRT(3))*60000)/($B$12*$B$15)</f>
        <v>0</v>
      </c>
      <c r="AG7" s="133">
        <f>_1934f</f>
        <v>1</v>
      </c>
      <c r="AH7" s="42" t="str">
        <f>IF(AG7="","","bis")</f>
        <v>bis</v>
      </c>
      <c r="AI7" s="134">
        <f>_1934g</f>
        <v>6</v>
      </c>
    </row>
    <row r="8" spans="1:36" ht="18" thickBot="1" x14ac:dyDescent="0.35">
      <c r="A8" s="21">
        <v>8</v>
      </c>
      <c r="B8" s="17">
        <f>(((SQRT(B5)*$B$3)/SQRT(3))*$C$15)/$A8</f>
        <v>173.20508075688775</v>
      </c>
      <c r="C8" s="17">
        <f>(((SQRT(C5)*$B$3)/SQRT(3))*1200)/$A8</f>
        <v>346.41016151377551</v>
      </c>
      <c r="D8" s="17">
        <f>(((SQRT(D5)*$B$3)/SQRT(3))*1200)/$A8</f>
        <v>489.8979485566357</v>
      </c>
      <c r="E8" s="105"/>
      <c r="F8" s="106"/>
      <c r="G8" s="106"/>
      <c r="H8" s="106"/>
      <c r="I8" s="132"/>
      <c r="J8" s="42" t="str">
        <f>IF(I8="","","bis")</f>
        <v/>
      </c>
      <c r="K8" s="18"/>
      <c r="L8" s="20">
        <f>(((SQRT($I8)*$B$3)/SQRT(3))*60000)/($B$12*$B$15)</f>
        <v>0</v>
      </c>
      <c r="M8" s="42" t="str">
        <f>IF(L8="","","bis")</f>
        <v>bis</v>
      </c>
      <c r="N8" s="18">
        <f>(((SQRT($K8)*$B$3)/SQRT(3))*60000)/($B$12*$B$15)</f>
        <v>0</v>
      </c>
      <c r="O8" s="132"/>
      <c r="P8" s="42" t="str">
        <f>IF(O8="","","bis")</f>
        <v/>
      </c>
      <c r="Q8" s="18"/>
      <c r="R8" s="20">
        <f>(((SQRT($O8)*$B$3)/SQRT(3))*60000)/($B$12*$B$15)</f>
        <v>0</v>
      </c>
      <c r="S8" s="42" t="str">
        <f>IF(R8="","","bis")</f>
        <v>bis</v>
      </c>
      <c r="T8" s="18">
        <f>(((SQRT($Q8)*$B$3)/SQRT(3))*60000)/($B$12*$B$15)</f>
        <v>0</v>
      </c>
      <c r="U8" s="132"/>
      <c r="V8" s="42" t="str">
        <f>IF(U8="","","bis")</f>
        <v/>
      </c>
      <c r="W8" s="18"/>
      <c r="X8" s="20">
        <f>(((SQRT($U8)*$B$3)/SQRT(3))*60000)/($B$12*$B$15)</f>
        <v>0</v>
      </c>
      <c r="Y8" s="42" t="str">
        <f>IF(X8="","","bis")</f>
        <v>bis</v>
      </c>
      <c r="Z8" s="18">
        <f>(((SQRT($W8)*$B$3)/SQRT(3))*60000)/($B$12*$B$15)</f>
        <v>0</v>
      </c>
      <c r="AA8" s="20"/>
      <c r="AB8" s="42" t="str">
        <f>IF(AA8="","","bis")</f>
        <v/>
      </c>
      <c r="AC8" s="18"/>
      <c r="AD8" s="20">
        <f>(((SQRT($AA8)*$B$3)/SQRT(3))*60000)/($B$12*$B$15)</f>
        <v>0</v>
      </c>
      <c r="AE8" s="19" t="s">
        <v>54</v>
      </c>
      <c r="AF8" s="19">
        <f>(((SQRT($AC8)*$B$3)/SQRT(3))*60000)/($B$12*$B$15)</f>
        <v>0</v>
      </c>
      <c r="AG8" s="133"/>
      <c r="AH8" s="42" t="str">
        <f>IF(AG8="","","bis")</f>
        <v/>
      </c>
      <c r="AI8" s="134"/>
    </row>
    <row r="9" spans="1:36" ht="18" thickBot="1" x14ac:dyDescent="0.35">
      <c r="A9" s="21">
        <v>9</v>
      </c>
      <c r="B9" s="17">
        <f>(((SQRT(B5)*$B$3)/SQRT(3))*$C$15)/$A9</f>
        <v>153.96007178390022</v>
      </c>
      <c r="C9" s="17">
        <f>(((SQRT(C5)*$B$3)/SQRT(3))*$C$15)/$A9</f>
        <v>307.92014356780044</v>
      </c>
      <c r="D9" s="17">
        <f>(((SQRT(D5)*$B$3)/SQRT(3))*$C$15)/$A9</f>
        <v>435.46484316145393</v>
      </c>
      <c r="E9" s="105"/>
      <c r="F9" s="106"/>
      <c r="G9" s="106"/>
      <c r="H9" s="106"/>
      <c r="I9" s="132"/>
      <c r="J9" s="42" t="str">
        <f>IF(I9="","","bis")</f>
        <v/>
      </c>
      <c r="K9" s="18"/>
      <c r="L9" s="20">
        <f>(((SQRT($I9)*$B$3)/SQRT(3))*60000)/($B$12*$B$15)</f>
        <v>0</v>
      </c>
      <c r="M9" s="42" t="str">
        <f>IF(L9="","","bis")</f>
        <v>bis</v>
      </c>
      <c r="N9" s="18">
        <f>(((SQRT($K9)*$B$3)/SQRT(3))*60000)/($B$12*$B$15)</f>
        <v>0</v>
      </c>
      <c r="O9" s="132"/>
      <c r="P9" s="42" t="str">
        <f>IF(O9="","","bis")</f>
        <v/>
      </c>
      <c r="Q9" s="18"/>
      <c r="R9" s="20">
        <f>(((SQRT($O9)*$B$3)/SQRT(3))*60000)/($B$12*$B$15)</f>
        <v>0</v>
      </c>
      <c r="S9" s="42" t="str">
        <f>IF(R9="","","bis")</f>
        <v>bis</v>
      </c>
      <c r="T9" s="18">
        <f>(((SQRT($Q9)*$B$3)/SQRT(3))*60000)/($B$12*$B$15)</f>
        <v>0</v>
      </c>
      <c r="U9" s="132"/>
      <c r="V9" s="42" t="str">
        <f>IF(U9="","","bis")</f>
        <v/>
      </c>
      <c r="W9" s="18"/>
      <c r="X9" s="20">
        <f>(((SQRT($U9)*$B$3)/SQRT(3))*60000)/($B$12*$B$15)</f>
        <v>0</v>
      </c>
      <c r="Y9" s="42" t="str">
        <f>IF(X9="","","bis")</f>
        <v>bis</v>
      </c>
      <c r="Z9" s="18">
        <f>(((SQRT($W9)*$B$3)/SQRT(3))*60000)/($B$12*$B$15)</f>
        <v>0</v>
      </c>
      <c r="AA9" s="20"/>
      <c r="AB9" s="42" t="str">
        <f>IF(AA9="","","bis")</f>
        <v/>
      </c>
      <c r="AC9" s="18"/>
      <c r="AD9" s="20">
        <f>(((SQRT($AA9)*$B$3)/SQRT(3))*60000)/($B$12*$B$15)</f>
        <v>0</v>
      </c>
      <c r="AE9" s="19" t="s">
        <v>54</v>
      </c>
      <c r="AF9" s="19">
        <f>(((SQRT($AC9)*$B$3)/SQRT(3))*60000)/($B$12*$B$15)</f>
        <v>0</v>
      </c>
      <c r="AG9" s="133"/>
      <c r="AH9" s="42" t="str">
        <f>IF(AG9="","","bis")</f>
        <v/>
      </c>
      <c r="AI9" s="134"/>
    </row>
    <row r="10" spans="1:36" ht="18" thickBot="1" x14ac:dyDescent="0.35">
      <c r="A10" s="22">
        <v>10</v>
      </c>
      <c r="B10" s="27">
        <f>(((SQRT(B5)*$B$3)/SQRT(3))*$C$15)/$A10</f>
        <v>138.5640646055102</v>
      </c>
      <c r="C10" s="27">
        <f>(((SQRT(C5)*$B$3)/SQRT(3))*$C$15)/$A10</f>
        <v>277.12812921102039</v>
      </c>
      <c r="D10" s="27">
        <f>(((SQRT(D5)*$B$3)/SQRT(3))*$C$15)/$A10</f>
        <v>391.91835884530855</v>
      </c>
      <c r="E10" s="105"/>
      <c r="F10" s="106"/>
      <c r="G10" s="106"/>
      <c r="H10" s="106"/>
      <c r="I10" s="132"/>
      <c r="J10" s="42" t="str">
        <f>IF(I10="","","bis")</f>
        <v/>
      </c>
      <c r="K10" s="18"/>
      <c r="L10" s="20">
        <f>(((SQRT($I10)*$B$3)/SQRT(3))*60000)/($B$12*$B$15)</f>
        <v>0</v>
      </c>
      <c r="M10" s="42" t="str">
        <f>IF(L10="","","bis")</f>
        <v>bis</v>
      </c>
      <c r="N10" s="18">
        <f>(((SQRT($K10)*$B$3)/SQRT(3))*60000)/($B$12*$B$15)</f>
        <v>0</v>
      </c>
      <c r="O10" s="20"/>
      <c r="P10" s="42" t="str">
        <f>IF(O10="","","bis")</f>
        <v/>
      </c>
      <c r="Q10" s="18"/>
      <c r="R10" s="20">
        <f>(((SQRT($O10)*$B$3)/SQRT(3))*60000)/($B$12*$B$15)</f>
        <v>0</v>
      </c>
      <c r="S10" s="42" t="str">
        <f>IF(R10="","","bis")</f>
        <v>bis</v>
      </c>
      <c r="T10" s="18">
        <f>(((SQRT($Q10)*$B$3)/SQRT(3))*60000)/($B$12*$B$15)</f>
        <v>0</v>
      </c>
      <c r="U10" s="20"/>
      <c r="V10" s="42" t="str">
        <f>IF(U10="","","bis")</f>
        <v/>
      </c>
      <c r="W10" s="18"/>
      <c r="X10" s="20">
        <f>(((SQRT($U10)*$B$3)/SQRT(3))*60000)/($B$12*$B$15)</f>
        <v>0</v>
      </c>
      <c r="Y10" s="42" t="str">
        <f>IF(X10="","","bis")</f>
        <v>bis</v>
      </c>
      <c r="Z10" s="18">
        <f>(((SQRT($W10)*$B$3)/SQRT(3))*60000)/($B$12*$B$15)</f>
        <v>0</v>
      </c>
      <c r="AA10" s="20"/>
      <c r="AB10" s="42" t="str">
        <f>IF(AA10="","","bis")</f>
        <v/>
      </c>
      <c r="AC10" s="18"/>
      <c r="AD10" s="20">
        <f>(((SQRT($AA10)*$B$3)/SQRT(3))*60000)/($B$12*$B$15)</f>
        <v>0</v>
      </c>
      <c r="AE10" s="19" t="s">
        <v>54</v>
      </c>
      <c r="AF10" s="19">
        <f>(((SQRT($AC10)*$B$3)/SQRT(3))*60000)/($B$12*$B$15)</f>
        <v>0</v>
      </c>
      <c r="AG10" s="133"/>
      <c r="AH10" s="42" t="str">
        <f>IF(AG10="","","bis")</f>
        <v/>
      </c>
      <c r="AI10" s="134"/>
    </row>
    <row r="11" spans="1:36" ht="18" thickBot="1" x14ac:dyDescent="0.35">
      <c r="J11" s="2"/>
    </row>
    <row r="12" spans="1:36" ht="18" thickBot="1" x14ac:dyDescent="0.35">
      <c r="A12" s="23" t="s">
        <v>56</v>
      </c>
      <c r="B12" s="8">
        <v>300</v>
      </c>
      <c r="C12" s="24"/>
      <c r="D12" s="167">
        <f>Tabelle1!A2</f>
        <v>200</v>
      </c>
    </row>
    <row r="13" spans="1:36" ht="18" thickBot="1" x14ac:dyDescent="0.35">
      <c r="A13" s="23" t="s">
        <v>57</v>
      </c>
      <c r="B13" s="25">
        <f>POWER(((SQRT(3)*$C$13)/$B$3),2)</f>
        <v>2.6367187499999996</v>
      </c>
      <c r="C13" s="26">
        <f>(B12*B14*B15)/60000</f>
        <v>1.875</v>
      </c>
      <c r="D13" s="25">
        <f>POWER(((SQRT(3)*$E$13)/$B$3),2)</f>
        <v>6.020833333333333</v>
      </c>
      <c r="E13" s="26">
        <f>(D12*D14*D15)/60000</f>
        <v>2.8333333333333335</v>
      </c>
      <c r="F13" s="115"/>
      <c r="G13" s="115"/>
      <c r="H13" s="115"/>
      <c r="I13" s="115"/>
      <c r="J13" s="115"/>
      <c r="K13" s="115"/>
      <c r="L13" s="115"/>
      <c r="M13" s="115"/>
      <c r="N13" s="115"/>
      <c r="O13" s="116"/>
      <c r="P13" s="116"/>
      <c r="Q13" s="116"/>
      <c r="R13" s="116"/>
      <c r="S13" s="116"/>
      <c r="T13" s="116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</row>
    <row r="14" spans="1:36" ht="18" thickBot="1" x14ac:dyDescent="0.35">
      <c r="A14" s="23" t="s">
        <v>58</v>
      </c>
      <c r="B14" s="9">
        <v>7.5</v>
      </c>
      <c r="D14" s="168">
        <f>Tabelle1!A4</f>
        <v>17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6"/>
      <c r="P14" s="116"/>
      <c r="Q14" s="116"/>
      <c r="R14" s="116"/>
      <c r="S14" s="116"/>
      <c r="T14" s="116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</row>
    <row r="15" spans="1:36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  <c r="F15" s="115"/>
      <c r="G15" s="115"/>
      <c r="H15" s="115"/>
      <c r="I15" s="115"/>
      <c r="J15" s="115"/>
      <c r="K15" s="115"/>
      <c r="L15" s="115"/>
      <c r="M15" s="115"/>
      <c r="N15" s="115"/>
      <c r="O15" s="116"/>
      <c r="P15" s="116"/>
      <c r="Q15" s="116"/>
      <c r="R15" s="116"/>
      <c r="S15" s="116"/>
      <c r="T15" s="116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</row>
    <row r="16" spans="1:36" x14ac:dyDescent="0.3"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6"/>
      <c r="P16" s="116"/>
      <c r="Q16" s="116"/>
      <c r="R16" s="116"/>
      <c r="S16" s="116"/>
      <c r="T16" s="116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</row>
    <row r="17" spans="4:36" x14ac:dyDescent="0.3"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6"/>
      <c r="P17" s="116"/>
      <c r="Q17" s="116"/>
      <c r="R17" s="116"/>
      <c r="S17" s="116"/>
      <c r="T17" s="116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</row>
    <row r="18" spans="4:36" x14ac:dyDescent="0.3">
      <c r="D18" s="115"/>
      <c r="E18" s="115"/>
      <c r="F18" s="115"/>
      <c r="G18" s="119"/>
      <c r="H18" s="119"/>
      <c r="I18" s="428"/>
      <c r="J18" s="428"/>
      <c r="K18" s="428"/>
      <c r="L18" s="428"/>
      <c r="M18" s="428"/>
      <c r="N18" s="428"/>
      <c r="O18" s="429"/>
      <c r="P18" s="429"/>
      <c r="Q18" s="429"/>
      <c r="R18" s="429"/>
      <c r="S18" s="429"/>
      <c r="T18" s="429"/>
      <c r="U18" s="428"/>
      <c r="V18" s="428"/>
      <c r="W18" s="428"/>
      <c r="X18" s="428"/>
      <c r="Y18" s="428"/>
      <c r="Z18" s="428"/>
      <c r="AA18" s="121"/>
      <c r="AB18" s="121"/>
      <c r="AC18" s="121"/>
      <c r="AD18" s="121"/>
      <c r="AE18" s="121"/>
      <c r="AF18" s="121"/>
      <c r="AG18" s="395"/>
      <c r="AH18" s="395"/>
      <c r="AI18" s="395"/>
      <c r="AJ18" s="115"/>
    </row>
    <row r="19" spans="4:36" x14ac:dyDescent="0.3">
      <c r="D19" s="115"/>
      <c r="E19" s="115"/>
      <c r="F19" s="116"/>
      <c r="G19" s="116"/>
      <c r="H19" s="116"/>
      <c r="I19" s="428"/>
      <c r="J19" s="428"/>
      <c r="K19" s="428"/>
      <c r="L19" s="428"/>
      <c r="M19" s="428"/>
      <c r="N19" s="428"/>
      <c r="O19" s="429"/>
      <c r="P19" s="429"/>
      <c r="Q19" s="429"/>
      <c r="R19" s="429"/>
      <c r="S19" s="429"/>
      <c r="T19" s="429"/>
      <c r="U19" s="428"/>
      <c r="V19" s="428"/>
      <c r="W19" s="428"/>
      <c r="X19" s="428"/>
      <c r="Y19" s="428"/>
      <c r="Z19" s="428"/>
      <c r="AA19" s="121"/>
      <c r="AB19" s="121"/>
      <c r="AC19" s="121"/>
      <c r="AD19" s="121"/>
      <c r="AE19" s="121"/>
      <c r="AF19" s="121"/>
      <c r="AG19" s="395"/>
      <c r="AH19" s="395"/>
      <c r="AI19" s="395"/>
      <c r="AJ19" s="115"/>
    </row>
    <row r="20" spans="4:36" x14ac:dyDescent="0.3">
      <c r="D20" s="115"/>
      <c r="E20" s="115"/>
      <c r="F20" s="115"/>
      <c r="G20" s="115"/>
      <c r="H20" s="115"/>
      <c r="I20" s="136"/>
      <c r="J20" s="117"/>
      <c r="K20" s="118"/>
      <c r="L20" s="118"/>
      <c r="M20" s="117"/>
      <c r="N20" s="118"/>
      <c r="O20" s="118"/>
      <c r="P20" s="117"/>
      <c r="Q20" s="118"/>
      <c r="R20" s="118"/>
      <c r="S20" s="117"/>
      <c r="T20" s="118"/>
      <c r="U20" s="118"/>
      <c r="V20" s="117"/>
      <c r="W20" s="118"/>
      <c r="X20" s="118"/>
      <c r="Y20" s="117"/>
      <c r="Z20" s="118"/>
      <c r="AA20" s="118"/>
      <c r="AB20" s="118"/>
      <c r="AC20" s="118"/>
      <c r="AD20" s="118"/>
      <c r="AE20" s="118"/>
      <c r="AF20" s="118"/>
      <c r="AG20" s="137"/>
      <c r="AH20" s="117"/>
      <c r="AI20" s="117"/>
      <c r="AJ20" s="115"/>
    </row>
    <row r="21" spans="4:36" x14ac:dyDescent="0.3">
      <c r="D21" s="115"/>
      <c r="E21" s="115"/>
      <c r="F21" s="115"/>
      <c r="G21" s="115"/>
      <c r="H21" s="115"/>
      <c r="I21" s="136"/>
      <c r="J21" s="117"/>
      <c r="K21" s="118"/>
      <c r="L21" s="118"/>
      <c r="M21" s="117"/>
      <c r="N21" s="118"/>
      <c r="O21" s="118"/>
      <c r="P21" s="117"/>
      <c r="Q21" s="118"/>
      <c r="R21" s="118"/>
      <c r="S21" s="117"/>
      <c r="T21" s="118"/>
      <c r="U21" s="118"/>
      <c r="V21" s="117"/>
      <c r="W21" s="118"/>
      <c r="X21" s="118"/>
      <c r="Y21" s="117"/>
      <c r="Z21" s="118"/>
      <c r="AA21" s="118"/>
      <c r="AB21" s="118"/>
      <c r="AC21" s="118"/>
      <c r="AD21" s="118"/>
      <c r="AE21" s="118"/>
      <c r="AF21" s="118"/>
      <c r="AG21" s="137"/>
      <c r="AH21" s="117"/>
      <c r="AI21" s="117"/>
      <c r="AJ21" s="115"/>
    </row>
    <row r="22" spans="4:36" x14ac:dyDescent="0.3">
      <c r="D22" s="115"/>
      <c r="E22" s="115"/>
      <c r="F22" s="115"/>
      <c r="G22" s="115"/>
      <c r="H22" s="115"/>
      <c r="I22" s="136"/>
      <c r="J22" s="117"/>
      <c r="K22" s="118"/>
      <c r="L22" s="118"/>
      <c r="M22" s="117"/>
      <c r="N22" s="118"/>
      <c r="O22" s="118"/>
      <c r="P22" s="117"/>
      <c r="Q22" s="118"/>
      <c r="R22" s="118"/>
      <c r="S22" s="117"/>
      <c r="T22" s="118"/>
      <c r="U22" s="118"/>
      <c r="V22" s="117"/>
      <c r="W22" s="118"/>
      <c r="X22" s="118"/>
      <c r="Y22" s="117"/>
      <c r="Z22" s="118"/>
      <c r="AA22" s="118"/>
      <c r="AB22" s="118"/>
      <c r="AC22" s="118"/>
      <c r="AD22" s="118"/>
      <c r="AE22" s="118"/>
      <c r="AF22" s="118"/>
      <c r="AG22" s="137"/>
      <c r="AH22" s="117"/>
      <c r="AI22" s="117"/>
      <c r="AJ22" s="115"/>
    </row>
    <row r="23" spans="4:36" x14ac:dyDescent="0.3">
      <c r="D23" s="115"/>
      <c r="E23" s="115"/>
      <c r="F23" s="115"/>
      <c r="G23" s="115"/>
      <c r="H23" s="115"/>
      <c r="I23" s="136"/>
      <c r="J23" s="117"/>
      <c r="K23" s="118"/>
      <c r="L23" s="118"/>
      <c r="M23" s="117"/>
      <c r="N23" s="118"/>
      <c r="O23" s="118"/>
      <c r="P23" s="117"/>
      <c r="Q23" s="118"/>
      <c r="R23" s="118"/>
      <c r="S23" s="117"/>
      <c r="T23" s="118"/>
      <c r="U23" s="118"/>
      <c r="V23" s="117"/>
      <c r="W23" s="118"/>
      <c r="X23" s="118"/>
      <c r="Y23" s="117"/>
      <c r="Z23" s="118"/>
      <c r="AA23" s="118"/>
      <c r="AB23" s="118"/>
      <c r="AC23" s="118"/>
      <c r="AD23" s="118"/>
      <c r="AE23" s="118"/>
      <c r="AF23" s="118"/>
      <c r="AG23" s="137"/>
      <c r="AH23" s="117"/>
      <c r="AI23" s="117"/>
      <c r="AJ23" s="115"/>
    </row>
    <row r="24" spans="4:36" x14ac:dyDescent="0.3">
      <c r="D24" s="115"/>
      <c r="E24" s="115"/>
      <c r="F24" s="115"/>
      <c r="G24" s="115"/>
      <c r="H24" s="115"/>
      <c r="I24" s="136"/>
      <c r="J24" s="117"/>
      <c r="K24" s="118"/>
      <c r="L24" s="118"/>
      <c r="M24" s="117"/>
      <c r="N24" s="118"/>
      <c r="O24" s="118"/>
      <c r="P24" s="117"/>
      <c r="Q24" s="118"/>
      <c r="R24" s="118"/>
      <c r="S24" s="117"/>
      <c r="T24" s="118"/>
      <c r="U24" s="118"/>
      <c r="V24" s="117"/>
      <c r="W24" s="118"/>
      <c r="X24" s="118"/>
      <c r="Y24" s="117"/>
      <c r="Z24" s="118"/>
      <c r="AA24" s="118"/>
      <c r="AB24" s="118"/>
      <c r="AC24" s="118"/>
      <c r="AD24" s="118"/>
      <c r="AE24" s="118"/>
      <c r="AF24" s="118"/>
      <c r="AG24" s="137"/>
      <c r="AH24" s="117"/>
      <c r="AI24" s="117"/>
      <c r="AJ24" s="115"/>
    </row>
    <row r="25" spans="4:36" x14ac:dyDescent="0.3"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6"/>
      <c r="P25" s="116"/>
      <c r="Q25" s="116"/>
      <c r="R25" s="116"/>
      <c r="S25" s="116"/>
      <c r="T25" s="116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</row>
    <row r="26" spans="4:36" x14ac:dyDescent="0.3"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6"/>
      <c r="P26" s="116"/>
      <c r="Q26" s="116"/>
      <c r="R26" s="116"/>
      <c r="S26" s="116"/>
      <c r="T26" s="116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</row>
  </sheetData>
  <sheetProtection algorithmName="SHA-512" hashValue="1JibYj/yBDzmoTBLm7WSwdNoe2l8wcNEv5FnixAj0z1qp1z5JhEDgx5UWSSEbEenhltP/q0Z6qZcti99+N//0g==" saltValue="noq36fN9sfYgfRHEfDw8oQ==" spinCount="100000" sheet="1" objects="1" scenarios="1"/>
  <mergeCells count="24">
    <mergeCell ref="B3:D3"/>
    <mergeCell ref="I4:N4"/>
    <mergeCell ref="O4:T4"/>
    <mergeCell ref="U4:Z4"/>
    <mergeCell ref="AG4:AI5"/>
    <mergeCell ref="I5:K5"/>
    <mergeCell ref="L5:N5"/>
    <mergeCell ref="O5:Q5"/>
    <mergeCell ref="R5:T5"/>
    <mergeCell ref="U5:W5"/>
    <mergeCell ref="AA4:AF4"/>
    <mergeCell ref="AA5:AC5"/>
    <mergeCell ref="AD5:AF5"/>
    <mergeCell ref="X5:Z5"/>
    <mergeCell ref="I18:N18"/>
    <mergeCell ref="O18:T18"/>
    <mergeCell ref="U18:Z18"/>
    <mergeCell ref="AG18:AI19"/>
    <mergeCell ref="I19:K19"/>
    <mergeCell ref="L19:N19"/>
    <mergeCell ref="O19:Q19"/>
    <mergeCell ref="R19:T19"/>
    <mergeCell ref="U19:W19"/>
    <mergeCell ref="X19:Z19"/>
  </mergeCells>
  <conditionalFormatting sqref="B9 E6:E10">
    <cfRule type="cellIs" dxfId="141" priority="8" operator="greaterThan">
      <formula>$B$12</formula>
    </cfRule>
  </conditionalFormatting>
  <conditionalFormatting sqref="C6">
    <cfRule type="cellIs" dxfId="140" priority="14" operator="greaterThan">
      <formula>$B$12</formula>
    </cfRule>
  </conditionalFormatting>
  <conditionalFormatting sqref="B6">
    <cfRule type="cellIs" dxfId="139" priority="15" operator="greaterThan">
      <formula>$B$12</formula>
    </cfRule>
  </conditionalFormatting>
  <conditionalFormatting sqref="B7">
    <cfRule type="cellIs" dxfId="138" priority="12" operator="greaterThan">
      <formula>$B$12</formula>
    </cfRule>
  </conditionalFormatting>
  <conditionalFormatting sqref="D10">
    <cfRule type="cellIs" dxfId="137" priority="1" operator="greaterThan">
      <formula>$B$12</formula>
    </cfRule>
  </conditionalFormatting>
  <conditionalFormatting sqref="D6">
    <cfRule type="cellIs" dxfId="136" priority="13" operator="greaterThan">
      <formula>$B$12</formula>
    </cfRule>
  </conditionalFormatting>
  <conditionalFormatting sqref="C7">
    <cfRule type="cellIs" dxfId="135" priority="11" operator="greaterThan">
      <formula>$B$12</formula>
    </cfRule>
  </conditionalFormatting>
  <conditionalFormatting sqref="D7">
    <cfRule type="cellIs" dxfId="134" priority="10" operator="greaterThan">
      <formula>$B$12</formula>
    </cfRule>
  </conditionalFormatting>
  <conditionalFormatting sqref="B8">
    <cfRule type="cellIs" dxfId="133" priority="9" operator="greaterThan">
      <formula>$B$12</formula>
    </cfRule>
  </conditionalFormatting>
  <conditionalFormatting sqref="B10">
    <cfRule type="cellIs" dxfId="132" priority="7" operator="greaterThan">
      <formula>$B$12</formula>
    </cfRule>
  </conditionalFormatting>
  <conditionalFormatting sqref="C8">
    <cfRule type="cellIs" dxfId="131" priority="6" operator="greaterThan">
      <formula>$B$12</formula>
    </cfRule>
  </conditionalFormatting>
  <conditionalFormatting sqref="D8">
    <cfRule type="cellIs" dxfId="130" priority="5" operator="greaterThan">
      <formula>$B$12</formula>
    </cfRule>
  </conditionalFormatting>
  <conditionalFormatting sqref="C9">
    <cfRule type="cellIs" dxfId="129" priority="4" operator="greaterThan">
      <formula>$B$12</formula>
    </cfRule>
  </conditionalFormatting>
  <conditionalFormatting sqref="D9">
    <cfRule type="cellIs" dxfId="128" priority="3" operator="greaterThan">
      <formula>$B$12</formula>
    </cfRule>
  </conditionalFormatting>
  <conditionalFormatting sqref="C10">
    <cfRule type="cellIs" dxfId="12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5.332031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7" t="s">
        <v>220</v>
      </c>
      <c r="B3" s="436">
        <v>2.4</v>
      </c>
      <c r="C3" s="436"/>
      <c r="D3" s="437"/>
      <c r="E3" s="11" t="s">
        <v>135</v>
      </c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277.12812921102039</v>
      </c>
      <c r="C6" s="17">
        <f>(((SQRT(C5)*$B$3)/SQRT(3))*$C$15)/$A6</f>
        <v>480</v>
      </c>
      <c r="D6" s="17">
        <f>(((SQRT(D5)*$B$3)/SQRT(3))*$C$15)/$A6</f>
        <v>678.82250993908565</v>
      </c>
      <c r="F6" s="106" t="str">
        <f>_1936b</f>
        <v>Lechler</v>
      </c>
      <c r="G6" s="106" t="str">
        <f>_1936c</f>
        <v>IDK 120 06</v>
      </c>
      <c r="H6" s="132">
        <f>_1936h</f>
        <v>1</v>
      </c>
      <c r="I6" s="42" t="str">
        <f>IF(H6="","","bis")</f>
        <v>bis</v>
      </c>
      <c r="J6" s="19">
        <f>_1936i</f>
        <v>6</v>
      </c>
      <c r="K6" s="20">
        <f>(((SQRT($H6)*$B$3)/SQRT(3))*60000)/($B$12*$B$15)</f>
        <v>8.3138438763306119</v>
      </c>
      <c r="L6" s="42" t="str">
        <f>IF(K6="","","bis")</f>
        <v>bis</v>
      </c>
      <c r="M6" s="18">
        <f>(((SQRT($J6)*$B$3)/SQRT(3))*60000)/($B$12*$B$15)</f>
        <v>20.364675298172568</v>
      </c>
      <c r="N6" s="19">
        <f>_1936j</f>
        <v>1</v>
      </c>
      <c r="O6" s="42" t="str">
        <f>IF(N6="","","bis")</f>
        <v>bis</v>
      </c>
      <c r="P6" s="18">
        <f>_1936k</f>
        <v>3</v>
      </c>
      <c r="Q6" s="20">
        <f>(((SQRT($N6)*$B$3)/SQRT(3))*60000)/($B$12*$B$15)</f>
        <v>8.3138438763306119</v>
      </c>
      <c r="R6" s="42" t="str">
        <f>IF(Q6="","","bis")</f>
        <v>bis</v>
      </c>
      <c r="S6" s="18">
        <f>(((SQRT($P6)*$B$3)/SQRT(3))*60000)/($B$12*$B$15)</f>
        <v>14.4</v>
      </c>
      <c r="T6" s="20">
        <f>_1936l</f>
        <v>1</v>
      </c>
      <c r="U6" s="42" t="str">
        <f>IF(T6="","","bis")</f>
        <v>bis</v>
      </c>
      <c r="V6" s="19">
        <f>_1936m</f>
        <v>1</v>
      </c>
      <c r="W6" s="20">
        <f>(((SQRT($T6)*$B$3)/SQRT(3))*60000)/($B$12*$B$15)</f>
        <v>8.3138438763306119</v>
      </c>
      <c r="X6" s="42" t="str">
        <f>IF(W6="","","bis")</f>
        <v>bis</v>
      </c>
      <c r="Y6" s="19">
        <f>(((SQRT($V6)*$B$3)/SQRT(3))*60000)/($B$12*$B$15)</f>
        <v>8.3138438763306119</v>
      </c>
      <c r="Z6" s="133">
        <f>_1936f</f>
        <v>1</v>
      </c>
      <c r="AA6" s="42" t="str">
        <f>IF(Z6="","","bis")</f>
        <v>bis</v>
      </c>
      <c r="AB6" s="134">
        <f>_1936g</f>
        <v>6</v>
      </c>
    </row>
    <row r="7" spans="1:28" ht="18" thickBot="1" x14ac:dyDescent="0.35">
      <c r="A7" s="21">
        <v>7</v>
      </c>
      <c r="B7" s="17">
        <f>(((SQRT(B5)*$B$3)/SQRT(3))*$C$15)/$A7</f>
        <v>237.53839646658889</v>
      </c>
      <c r="C7" s="17">
        <f>(((SQRT(C5)*$B$3)/SQRT(3))*$C$15)/$A7</f>
        <v>411.42857142857144</v>
      </c>
      <c r="D7" s="17">
        <f>(((SQRT(D5)*$B$3)/SQRT(3))*$C$15)/$A7</f>
        <v>581.84786566207345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207.84609690826528</v>
      </c>
      <c r="C8" s="17">
        <f>(((SQRT(C5)*$B$3)/SQRT(3))*1200)/$A8</f>
        <v>360</v>
      </c>
      <c r="D8" s="17">
        <f>(((SQRT(D5)*$B$3)/SQRT(3))*1200)/$A8</f>
        <v>509.11688245431424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184.75208614068026</v>
      </c>
      <c r="C9" s="17">
        <f>(((SQRT(C5)*$B$3)/SQRT(3))*$C$15)/$A9</f>
        <v>320</v>
      </c>
      <c r="D9" s="17">
        <f>(((SQRT(D5)*$B$3)/SQRT(3))*$C$15)/$A9</f>
        <v>452.54833995939043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166.27687752661222</v>
      </c>
      <c r="C10" s="27">
        <f>(((SQRT(C5)*$B$3)/SQRT(3))*$C$15)/$A10</f>
        <v>288</v>
      </c>
      <c r="D10" s="27">
        <f>(((SQRT(D5)*$B$3)/SQRT(3))*$C$15)/$A10</f>
        <v>407.29350596345137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0.36168981481481477</v>
      </c>
      <c r="C13" s="26">
        <f>(B12*B14*B15)/60000</f>
        <v>0.83333333333333337</v>
      </c>
      <c r="D13" s="25">
        <f>POWER(((SQRT(3)*$E$13)/$B$3),2)</f>
        <v>4.1811342592592595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vjXnYiTxAODhJEUykcNganipBAsjT9q3regolG8ku+Fq7wtbqXakg9/6/QVoqxQHLbYKO22+Yzvj83SzhXSytQ==" saltValue="6jUJ9OEVzIvdPzuqBSLNpA==" spinCount="100000" sheet="1" objects="1" scenarios="1"/>
  <mergeCells count="11">
    <mergeCell ref="Z4:AB5"/>
    <mergeCell ref="H5:J5"/>
    <mergeCell ref="K5:M5"/>
    <mergeCell ref="N5:P5"/>
    <mergeCell ref="Q5:S5"/>
    <mergeCell ref="T5:V5"/>
    <mergeCell ref="B3:D3"/>
    <mergeCell ref="W5:Y5"/>
    <mergeCell ref="H4:M4"/>
    <mergeCell ref="N4:S4"/>
    <mergeCell ref="T4:Y4"/>
  </mergeCells>
  <conditionalFormatting sqref="B9">
    <cfRule type="cellIs" dxfId="126" priority="8" operator="greaterThan">
      <formula>$B$12</formula>
    </cfRule>
  </conditionalFormatting>
  <conditionalFormatting sqref="C6">
    <cfRule type="cellIs" dxfId="125" priority="14" operator="greaterThan">
      <formula>$B$12</formula>
    </cfRule>
  </conditionalFormatting>
  <conditionalFormatting sqref="B6">
    <cfRule type="cellIs" dxfId="124" priority="15" operator="greaterThan">
      <formula>$B$12</formula>
    </cfRule>
  </conditionalFormatting>
  <conditionalFormatting sqref="B7">
    <cfRule type="cellIs" dxfId="123" priority="12" operator="greaterThan">
      <formula>$B$12</formula>
    </cfRule>
  </conditionalFormatting>
  <conditionalFormatting sqref="D10">
    <cfRule type="cellIs" dxfId="122" priority="1" operator="greaterThan">
      <formula>$B$12</formula>
    </cfRule>
  </conditionalFormatting>
  <conditionalFormatting sqref="D6">
    <cfRule type="cellIs" dxfId="121" priority="13" operator="greaterThan">
      <formula>$B$12</formula>
    </cfRule>
  </conditionalFormatting>
  <conditionalFormatting sqref="C7">
    <cfRule type="cellIs" dxfId="120" priority="11" operator="greaterThan">
      <formula>$B$12</formula>
    </cfRule>
  </conditionalFormatting>
  <conditionalFormatting sqref="D7">
    <cfRule type="cellIs" dxfId="119" priority="10" operator="greaterThan">
      <formula>$B$12</formula>
    </cfRule>
  </conditionalFormatting>
  <conditionalFormatting sqref="B8">
    <cfRule type="cellIs" dxfId="118" priority="9" operator="greaterThan">
      <formula>$B$12</formula>
    </cfRule>
  </conditionalFormatting>
  <conditionalFormatting sqref="B10">
    <cfRule type="cellIs" dxfId="117" priority="7" operator="greaterThan">
      <formula>$B$12</formula>
    </cfRule>
  </conditionalFormatting>
  <conditionalFormatting sqref="C8">
    <cfRule type="cellIs" dxfId="116" priority="6" operator="greaterThan">
      <formula>$B$12</formula>
    </cfRule>
  </conditionalFormatting>
  <conditionalFormatting sqref="D8">
    <cfRule type="cellIs" dxfId="115" priority="5" operator="greaterThan">
      <formula>$B$12</formula>
    </cfRule>
  </conditionalFormatting>
  <conditionalFormatting sqref="C9">
    <cfRule type="cellIs" dxfId="114" priority="4" operator="greaterThan">
      <formula>$B$12</formula>
    </cfRule>
  </conditionalFormatting>
  <conditionalFormatting sqref="D9">
    <cfRule type="cellIs" dxfId="113" priority="3" operator="greaterThan">
      <formula>$B$12</formula>
    </cfRule>
  </conditionalFormatting>
  <conditionalFormatting sqref="C10">
    <cfRule type="cellIs" dxfId="11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10.6640625" style="11" bestFit="1" customWidth="1"/>
    <col min="4" max="4" width="12.5546875" style="11" bestFit="1" customWidth="1"/>
    <col min="5" max="5" width="13.5546875" style="11" customWidth="1"/>
    <col min="6" max="6" width="18.6640625" style="11" bestFit="1" customWidth="1"/>
    <col min="7" max="7" width="22.109375" style="11" customWidth="1"/>
    <col min="8" max="8" width="5.109375" style="11" customWidth="1"/>
    <col min="9" max="9" width="5.109375" style="11" bestFit="1" customWidth="1"/>
    <col min="10" max="10" width="6.6640625" style="11" bestFit="1" customWidth="1"/>
    <col min="11" max="13" width="6.6640625" style="11" customWidth="1"/>
    <col min="14" max="14" width="6.6640625" style="11" bestFit="1" customWidth="1"/>
    <col min="15" max="16" width="5.109375" style="12" bestFit="1" customWidth="1"/>
    <col min="17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131" t="s">
        <v>65</v>
      </c>
      <c r="B3" s="397">
        <v>0.4</v>
      </c>
      <c r="C3" s="397"/>
      <c r="D3" s="398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2</v>
      </c>
      <c r="D5" s="15">
        <v>3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50">
        <v>4</v>
      </c>
      <c r="B6" s="17">
        <f>(((SQRT($B$5)*$B$3)/SQRT(3))*60000)/($A$6*$B$16)</f>
        <v>173.20508075688775</v>
      </c>
      <c r="C6" s="17">
        <f>(((SQRT($C$5)*$B$3)/SQRT(3))*60000)/($A$6*$B$16)</f>
        <v>244.94897427831788</v>
      </c>
      <c r="D6" s="17">
        <f>(((SQRT($D$5)*$B$3)/SQRT(3))*60000)/($A$6*$B$16)</f>
        <v>300</v>
      </c>
      <c r="F6" s="106"/>
      <c r="G6" s="106"/>
      <c r="H6" s="132"/>
      <c r="I6" s="42" t="s">
        <v>93</v>
      </c>
      <c r="J6" s="19"/>
      <c r="K6" s="20">
        <f>(((SQRT($H6)*$B$3)/SQRT(3))*60000)/($B$12*$B$16)</f>
        <v>0</v>
      </c>
      <c r="L6" s="42" t="str">
        <f>IF(K6="","","bis")</f>
        <v>bis</v>
      </c>
      <c r="M6" s="18">
        <f>(((SQRT($J6)*$B$3)/SQRT(3))*60000)/($B$12*$B$16)</f>
        <v>0</v>
      </c>
      <c r="N6" s="19"/>
      <c r="O6" s="42" t="s">
        <v>93</v>
      </c>
      <c r="P6" s="19"/>
      <c r="Q6" s="20">
        <f>(((SQRT($N6)*$B$3)/SQRT(3))*60000)/($B$12*$B$16)</f>
        <v>0</v>
      </c>
      <c r="R6" s="42" t="str">
        <f>IF(Q6="","","bis")</f>
        <v>bis</v>
      </c>
      <c r="S6" s="18">
        <f>(((SQRT($P6)*$B$3)/SQRT(3))*60000)/($B$12*$B$16)</f>
        <v>0</v>
      </c>
      <c r="T6" s="132"/>
      <c r="U6" s="42" t="s">
        <v>93</v>
      </c>
      <c r="V6" s="19"/>
      <c r="W6" s="20">
        <f>(((SQRT($T6)*$B$3)/SQRT(3))*60000)/($B$12*$B$16)</f>
        <v>0</v>
      </c>
      <c r="X6" s="42" t="str">
        <f>IF(W6="","","bis")</f>
        <v>bis</v>
      </c>
      <c r="Y6" s="18">
        <f>(((SQRT($V6)*$B$3)/SQRT(3))*60000)/($B$12*$B$16)</f>
        <v>0</v>
      </c>
      <c r="Z6" s="133"/>
      <c r="AA6" s="42" t="s">
        <v>93</v>
      </c>
      <c r="AB6" s="134"/>
    </row>
    <row r="7" spans="1:28" ht="18" thickBot="1" x14ac:dyDescent="0.35">
      <c r="A7" s="50">
        <v>5</v>
      </c>
      <c r="B7" s="17">
        <f>(((SQRT($B$5)*$B$3)/SQRT(3))*60000)/($A$7*$B$16)</f>
        <v>138.5640646055102</v>
      </c>
      <c r="C7" s="17">
        <f>(((SQRT($C$5)*$B$3)/SQRT(3))*60000)/($A$7*$B$16)</f>
        <v>195.9591794226543</v>
      </c>
      <c r="D7" s="17">
        <f>(((SQRT($D$5)*$B$3)/SQRT(3))*60000)/($A$7*$B$16)</f>
        <v>240</v>
      </c>
      <c r="F7" s="106"/>
      <c r="G7" s="106"/>
      <c r="H7" s="132"/>
      <c r="I7" s="42" t="s">
        <v>93</v>
      </c>
      <c r="J7" s="18"/>
      <c r="K7" s="20">
        <f>(((SQRT($H7)*$B$3)/SQRT(3))*60000)/($B$12*$B$16)</f>
        <v>0</v>
      </c>
      <c r="L7" s="42" t="str">
        <f>IF(K7="","","bis")</f>
        <v>bis</v>
      </c>
      <c r="M7" s="18">
        <f>(((SQRT($J7)*$B$3)/SQRT(3))*60000)/($B$12*$B$16)</f>
        <v>0</v>
      </c>
      <c r="N7" s="20"/>
      <c r="O7" s="42" t="s">
        <v>93</v>
      </c>
      <c r="P7" s="18"/>
      <c r="Q7" s="20">
        <f>(((SQRT($N7)*$B$3)/SQRT(3))*60000)/($B$12*$B$16)</f>
        <v>0</v>
      </c>
      <c r="R7" s="42" t="str">
        <f>IF(Q7="","","bis")</f>
        <v>bis</v>
      </c>
      <c r="S7" s="18">
        <f>(((SQRT($P7)*$B$3)/SQRT(3))*60000)/($B$12*$B$16)</f>
        <v>0</v>
      </c>
      <c r="T7" s="20"/>
      <c r="U7" s="42" t="s">
        <v>93</v>
      </c>
      <c r="V7" s="18"/>
      <c r="W7" s="20">
        <f>(((SQRT($T7)*$B$3)/SQRT(3))*60000)/($B$12*$B$16)</f>
        <v>0</v>
      </c>
      <c r="X7" s="42" t="str">
        <f>IF(W7="","","bis")</f>
        <v>bis</v>
      </c>
      <c r="Y7" s="18">
        <f>(((SQRT($V7)*$B$3)/SQRT(3))*60000)/($B$12*$B$16)</f>
        <v>0</v>
      </c>
      <c r="Z7" s="133"/>
      <c r="AA7" s="42" t="s">
        <v>93</v>
      </c>
      <c r="AB7" s="134"/>
    </row>
    <row r="8" spans="1:28" ht="18" thickBot="1" x14ac:dyDescent="0.35">
      <c r="A8" s="50">
        <v>6</v>
      </c>
      <c r="B8" s="17">
        <f>(((SQRT($B$5)*$B$3)/SQRT(3))*60000)/($A$8*$B$16)</f>
        <v>115.47005383792516</v>
      </c>
      <c r="C8" s="17">
        <f>(((SQRT($C$5)*$B$3)/SQRT(3))*60000)/($A$8*$B$16)</f>
        <v>163.29931618554525</v>
      </c>
      <c r="D8" s="17">
        <f>(((SQRT($D$5)*$B$3)/SQRT(3))*60000)/($A$8*$B$16)</f>
        <v>200</v>
      </c>
      <c r="F8" s="106"/>
      <c r="G8" s="106"/>
      <c r="H8" s="132"/>
      <c r="I8" s="42" t="s">
        <v>93</v>
      </c>
      <c r="J8" s="18"/>
      <c r="K8" s="20">
        <f>(((SQRT($H8)*$B$3)/SQRT(3))*60000)/($B$12*$B$16)</f>
        <v>0</v>
      </c>
      <c r="L8" s="42" t="str">
        <f>IF(K8="","","bis")</f>
        <v>bis</v>
      </c>
      <c r="M8" s="18">
        <f>(((SQRT($J8)*$B$3)/SQRT(3))*60000)/($B$12*$B$16)</f>
        <v>0</v>
      </c>
      <c r="N8" s="20"/>
      <c r="O8" s="42" t="s">
        <v>93</v>
      </c>
      <c r="P8" s="18"/>
      <c r="Q8" s="20">
        <f>(((SQRT($N8)*$B$3)/SQRT(3))*60000)/($B$12*$B$16)</f>
        <v>0</v>
      </c>
      <c r="R8" s="42" t="str">
        <f>IF(Q8="","","bis")</f>
        <v>bis</v>
      </c>
      <c r="S8" s="18">
        <f>(((SQRT($P8)*$B$3)/SQRT(3))*60000)/($B$12*$B$16)</f>
        <v>0</v>
      </c>
      <c r="T8" s="20"/>
      <c r="U8" s="42" t="s">
        <v>93</v>
      </c>
      <c r="V8" s="18"/>
      <c r="W8" s="20">
        <f>(((SQRT($T8)*$B$3)/SQRT(3))*60000)/($B$12*$B$16)</f>
        <v>0</v>
      </c>
      <c r="X8" s="42" t="str">
        <f>IF(W8="","","bis")</f>
        <v>bis</v>
      </c>
      <c r="Y8" s="18">
        <f>(((SQRT($V8)*$B$3)/SQRT(3))*60000)/($B$12*$B$16)</f>
        <v>0</v>
      </c>
      <c r="Z8" s="133"/>
      <c r="AA8" s="42" t="s">
        <v>93</v>
      </c>
      <c r="AB8" s="134"/>
    </row>
    <row r="9" spans="1:28" ht="18" thickBot="1" x14ac:dyDescent="0.35">
      <c r="A9" s="50">
        <v>7</v>
      </c>
      <c r="B9" s="17">
        <f>(((SQRT($B$5)*$B$3)/SQRT(3))*60000)/($A$9*$B$16)</f>
        <v>98.97433186107871</v>
      </c>
      <c r="C9" s="17">
        <f>(((SQRT($C$5)*$B$3)/SQRT(3))*60000)/($A$9*$B$16)</f>
        <v>139.97084244475309</v>
      </c>
      <c r="D9" s="17">
        <f>(((SQRT($D$5)*$B$3)/SQRT(3))*60000)/($A$9*$B$16)</f>
        <v>171.42857142857142</v>
      </c>
      <c r="F9" s="106"/>
      <c r="G9" s="106"/>
      <c r="H9" s="132"/>
      <c r="I9" s="42" t="s">
        <v>93</v>
      </c>
      <c r="J9" s="18"/>
      <c r="K9" s="20">
        <f>(((SQRT($H9)*$B$3)/SQRT(3))*60000)/($B$12*$B$16)</f>
        <v>0</v>
      </c>
      <c r="L9" s="42" t="str">
        <f>IF(K9="","","bis")</f>
        <v>bis</v>
      </c>
      <c r="M9" s="18">
        <f>(((SQRT($J9)*$B$3)/SQRT(3))*60000)/($B$12*$B$16)</f>
        <v>0</v>
      </c>
      <c r="N9" s="20"/>
      <c r="O9" s="42" t="s">
        <v>93</v>
      </c>
      <c r="P9" s="18"/>
      <c r="Q9" s="20">
        <f>(((SQRT($N9)*$B$3)/SQRT(3))*60000)/($B$12*$B$16)</f>
        <v>0</v>
      </c>
      <c r="R9" s="42" t="str">
        <f>IF(Q9="","","bis")</f>
        <v>bis</v>
      </c>
      <c r="S9" s="18">
        <f>(((SQRT($P9)*$B$3)/SQRT(3))*60000)/($B$12*$B$16)</f>
        <v>0</v>
      </c>
      <c r="T9" s="20"/>
      <c r="U9" s="42" t="s">
        <v>93</v>
      </c>
      <c r="V9" s="19"/>
      <c r="W9" s="20">
        <f>(((SQRT($T9)*$B$3)/SQRT(3))*60000)/($B$12*$B$16)</f>
        <v>0</v>
      </c>
      <c r="X9" s="42" t="str">
        <f>IF(W9="","","bis")</f>
        <v>bis</v>
      </c>
      <c r="Y9" s="18">
        <f>(((SQRT($V9)*$B$3)/SQRT(3))*60000)/($B$12*$B$16)</f>
        <v>0</v>
      </c>
      <c r="Z9" s="133"/>
      <c r="AA9" s="42" t="s">
        <v>93</v>
      </c>
      <c r="AB9" s="134"/>
    </row>
    <row r="10" spans="1:28" ht="18" thickBot="1" x14ac:dyDescent="0.35">
      <c r="A10" s="50">
        <v>8</v>
      </c>
      <c r="B10" s="27">
        <f>(((SQRT($B$5)*$B$3)/SQRT(3))*60000)/($A$10*$B$16)</f>
        <v>86.602540378443877</v>
      </c>
      <c r="C10" s="27">
        <f>(((SQRT($C$5)*$B$3)/SQRT(3))*60000)/($A$10*$B$16)</f>
        <v>122.47448713915894</v>
      </c>
      <c r="D10" s="27">
        <f>(((SQRT($D$5)*$B$3)/SQRT(3))*60000)/($A$10*$B$16)</f>
        <v>150</v>
      </c>
      <c r="F10" s="106"/>
      <c r="G10" s="106"/>
      <c r="H10" s="132"/>
      <c r="I10" s="42" t="s">
        <v>93</v>
      </c>
      <c r="J10" s="18"/>
      <c r="K10" s="20">
        <f>(((SQRT($H10)*$B$3)/SQRT(3))*60000)/($B$12*$B$16)</f>
        <v>0</v>
      </c>
      <c r="L10" s="42" t="str">
        <f>IF(K10="","","bis")</f>
        <v>bis</v>
      </c>
      <c r="M10" s="18">
        <f>(((SQRT($J10)*$B$3)/SQRT(3))*60000)/($B$12*$B$16)</f>
        <v>0</v>
      </c>
      <c r="N10" s="20"/>
      <c r="O10" s="42" t="s">
        <v>93</v>
      </c>
      <c r="P10" s="18"/>
      <c r="Q10" s="20">
        <f>(((SQRT($N10)*$B$3)/SQRT(3))*60000)/($B$12*$B$16)</f>
        <v>0</v>
      </c>
      <c r="R10" s="42" t="str">
        <f>IF(Q10="","","bis")</f>
        <v>bis</v>
      </c>
      <c r="S10" s="18">
        <f>(((SQRT($P10)*$B$3)/SQRT(3))*60000)/($B$12*$B$16)</f>
        <v>0</v>
      </c>
      <c r="T10" s="20"/>
      <c r="U10" s="42" t="s">
        <v>93</v>
      </c>
      <c r="V10" s="18"/>
      <c r="W10" s="20">
        <f>(((SQRT($T10)*$B$3)/SQRT(3))*60000)/($B$12*$B$16)</f>
        <v>0</v>
      </c>
      <c r="X10" s="42" t="str">
        <f>IF(W10="","","bis")</f>
        <v>bis</v>
      </c>
      <c r="Y10" s="18">
        <f>(((SQRT($V10)*$B$3)/SQRT(3))*60000)/($B$12*$B$16)</f>
        <v>0</v>
      </c>
      <c r="Z10" s="133"/>
      <c r="AA10" s="42" t="s">
        <v>93</v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300</v>
      </c>
      <c r="C12" s="24"/>
      <c r="E12" s="176"/>
      <c r="F12" s="115"/>
    </row>
    <row r="13" spans="1:28" ht="18" thickBot="1" x14ac:dyDescent="0.35">
      <c r="A13" s="23" t="s">
        <v>57</v>
      </c>
      <c r="B13" s="25">
        <f>POWER(((SQRT(3)*$C$13)/$B$3),2)</f>
        <v>6.7499999999999982</v>
      </c>
      <c r="C13" s="45">
        <f>(B12*B14*B16)/60000</f>
        <v>0.6</v>
      </c>
      <c r="E13" s="175"/>
    </row>
    <row r="14" spans="1:28" ht="18" thickBot="1" x14ac:dyDescent="0.35">
      <c r="A14" s="23" t="s">
        <v>58</v>
      </c>
      <c r="B14" s="9">
        <v>6</v>
      </c>
    </row>
    <row r="15" spans="1:28" ht="18" thickBot="1" x14ac:dyDescent="0.35">
      <c r="A15" s="23"/>
      <c r="B15" s="49"/>
      <c r="C15" s="26"/>
      <c r="E15" s="174"/>
      <c r="G15" s="185">
        <f>(B12*B18/100)*B19</f>
        <v>133.33333333333331</v>
      </c>
    </row>
    <row r="16" spans="1:28" ht="18" thickBot="1" x14ac:dyDescent="0.35">
      <c r="A16" s="174" t="s">
        <v>89</v>
      </c>
      <c r="B16" s="28">
        <v>20</v>
      </c>
    </row>
    <row r="17" spans="1:12" ht="18" thickBot="1" x14ac:dyDescent="0.35">
      <c r="A17" s="175" t="s">
        <v>90</v>
      </c>
      <c r="B17" s="28">
        <v>45</v>
      </c>
    </row>
    <row r="18" spans="1:12" ht="18" thickBot="1" x14ac:dyDescent="0.35">
      <c r="A18" s="46" t="s">
        <v>91</v>
      </c>
      <c r="B18" s="47">
        <f>(B16*100)/B17</f>
        <v>44.444444444444443</v>
      </c>
    </row>
    <row r="19" spans="1:12" ht="18" thickBot="1" x14ac:dyDescent="0.35">
      <c r="A19" s="174" t="s">
        <v>92</v>
      </c>
      <c r="B19" s="48">
        <v>1</v>
      </c>
    </row>
    <row r="20" spans="1:12" ht="18" thickBot="1" x14ac:dyDescent="0.35">
      <c r="A20" s="11" t="s">
        <v>236</v>
      </c>
      <c r="B20" s="177">
        <v>3</v>
      </c>
      <c r="J20" s="406">
        <f>B20*((B16/B17)*B19)</f>
        <v>1.3333333333333333</v>
      </c>
      <c r="K20" s="407"/>
      <c r="L20" s="408"/>
    </row>
  </sheetData>
  <sheetProtection algorithmName="SHA-512" hashValue="lazAMJ6FOAPGDyVmSVMhm8ifaaod2R6B01HOhyne+W9p0dSWukRaqqAOtT5fgz3s3twUk+FELxySVna1IkVKFw==" saltValue="EYRBoJU+7BVA0feRc1MgDA==" spinCount="100000" sheet="1" objects="1" scenarios="1"/>
  <mergeCells count="12">
    <mergeCell ref="J20:L20"/>
    <mergeCell ref="B3:D3"/>
    <mergeCell ref="H4:M4"/>
    <mergeCell ref="Z4:AB5"/>
    <mergeCell ref="H5:J5"/>
    <mergeCell ref="K5:M5"/>
    <mergeCell ref="N5:P5"/>
    <mergeCell ref="Q5:S5"/>
    <mergeCell ref="T5:V5"/>
    <mergeCell ref="W5:Y5"/>
    <mergeCell ref="N4:S4"/>
    <mergeCell ref="T4:Y4"/>
  </mergeCells>
  <conditionalFormatting sqref="B6">
    <cfRule type="cellIs" dxfId="794" priority="15" operator="greaterThan">
      <formula>$B$12</formula>
    </cfRule>
  </conditionalFormatting>
  <conditionalFormatting sqref="C6">
    <cfRule type="cellIs" dxfId="793" priority="14" operator="greaterThan">
      <formula>$B$12</formula>
    </cfRule>
  </conditionalFormatting>
  <conditionalFormatting sqref="D6">
    <cfRule type="cellIs" dxfId="792" priority="13" operator="greaterThan">
      <formula>$B$12</formula>
    </cfRule>
  </conditionalFormatting>
  <conditionalFormatting sqref="B7">
    <cfRule type="cellIs" dxfId="791" priority="12" operator="greaterThan">
      <formula>$B$12</formula>
    </cfRule>
  </conditionalFormatting>
  <conditionalFormatting sqref="C7">
    <cfRule type="cellIs" dxfId="790" priority="11" operator="greaterThan">
      <formula>$B$12</formula>
    </cfRule>
  </conditionalFormatting>
  <conditionalFormatting sqref="D7">
    <cfRule type="cellIs" dxfId="789" priority="10" operator="greaterThan">
      <formula>$B$12</formula>
    </cfRule>
  </conditionalFormatting>
  <conditionalFormatting sqref="B8">
    <cfRule type="cellIs" dxfId="788" priority="9" operator="greaterThan">
      <formula>$B$12</formula>
    </cfRule>
  </conditionalFormatting>
  <conditionalFormatting sqref="C8">
    <cfRule type="cellIs" dxfId="787" priority="8" operator="greaterThan">
      <formula>$B$12</formula>
    </cfRule>
  </conditionalFormatting>
  <conditionalFormatting sqref="D8">
    <cfRule type="cellIs" dxfId="786" priority="7" operator="greaterThan">
      <formula>$B$12</formula>
    </cfRule>
  </conditionalFormatting>
  <conditionalFormatting sqref="B9">
    <cfRule type="cellIs" dxfId="785" priority="6" operator="greaterThan">
      <formula>$B$12</formula>
    </cfRule>
  </conditionalFormatting>
  <conditionalFormatting sqref="B10">
    <cfRule type="cellIs" dxfId="784" priority="5" operator="greaterThan">
      <formula>$B$12</formula>
    </cfRule>
  </conditionalFormatting>
  <conditionalFormatting sqref="C9">
    <cfRule type="cellIs" dxfId="783" priority="4" operator="greaterThan">
      <formula>$B$12</formula>
    </cfRule>
  </conditionalFormatting>
  <conditionalFormatting sqref="D9">
    <cfRule type="cellIs" dxfId="782" priority="3" operator="greaterThan">
      <formula>$B$12</formula>
    </cfRule>
  </conditionalFormatting>
  <conditionalFormatting sqref="C10">
    <cfRule type="cellIs" dxfId="781" priority="2" operator="greaterThan">
      <formula>$B$12</formula>
    </cfRule>
  </conditionalFormatting>
  <conditionalFormatting sqref="D10">
    <cfRule type="cellIs" dxfId="780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.5546875" style="1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7" t="s">
        <v>220</v>
      </c>
      <c r="B3" s="436">
        <v>2.4</v>
      </c>
      <c r="C3" s="436"/>
      <c r="D3" s="437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391.91835884530855</v>
      </c>
      <c r="C6" s="17">
        <f>(((SQRT(C5)*$B$3)/SQRT(3))*$C$15)/$A6</f>
        <v>619.6773353931867</v>
      </c>
      <c r="D6" s="17">
        <f>(((SQRT(D5)*$B$3)/SQRT(3))*$C$15)/$A6</f>
        <v>783.83671769061709</v>
      </c>
      <c r="F6" s="106" t="str">
        <f>_2088b</f>
        <v>Lechler</v>
      </c>
      <c r="G6" s="106" t="str">
        <f>_2088c</f>
        <v>ID (3) 120 06</v>
      </c>
      <c r="H6" s="132">
        <f>_2088h</f>
        <v>2</v>
      </c>
      <c r="I6" s="42" t="str">
        <f>IF(H6="","","bis")</f>
        <v>bis</v>
      </c>
      <c r="J6" s="19">
        <f>_2088i</f>
        <v>8</v>
      </c>
      <c r="K6" s="20">
        <f>(((SQRT($H6)*$B$3)/SQRT(3))*60000)/($B$12*$B$15)</f>
        <v>11.757550765359257</v>
      </c>
      <c r="L6" s="42" t="str">
        <f>IF(K6="","","bis")</f>
        <v>bis</v>
      </c>
      <c r="M6" s="18">
        <f>(((SQRT($J6)*$B$3)/SQRT(3))*60000)/($B$12*$B$15)</f>
        <v>23.515101530718514</v>
      </c>
      <c r="N6" s="19">
        <f>_2088j</f>
        <v>2</v>
      </c>
      <c r="O6" s="42" t="str">
        <f>IF(N6="","","bis")</f>
        <v>bis</v>
      </c>
      <c r="P6" s="18">
        <f>_2088k</f>
        <v>8</v>
      </c>
      <c r="Q6" s="20">
        <f>(((SQRT($N6)*$B$3)/SQRT(3))*60000)/($B$12*$B$15)</f>
        <v>11.757550765359257</v>
      </c>
      <c r="R6" s="42" t="str">
        <f>IF(Q6="","","bis")</f>
        <v>bis</v>
      </c>
      <c r="S6" s="18">
        <f>(((SQRT($P6)*$B$3)/SQRT(3))*60000)/($B$12*$B$15)</f>
        <v>23.515101530718514</v>
      </c>
      <c r="T6" s="20">
        <f>_2088l</f>
        <v>2</v>
      </c>
      <c r="U6" s="42" t="str">
        <f>IF(T6="","","bis")</f>
        <v>bis</v>
      </c>
      <c r="V6" s="19">
        <f>_2088m</f>
        <v>6</v>
      </c>
      <c r="W6" s="20">
        <f>(((SQRT($T6)*$B$3)/SQRT(3))*60000)/($B$12*$B$15)</f>
        <v>11.757550765359257</v>
      </c>
      <c r="X6" s="42" t="str">
        <f>IF(W6="","","bis")</f>
        <v>bis</v>
      </c>
      <c r="Y6" s="19">
        <f>(((SQRT($V6)*$B$3)/SQRT(3))*60000)/($B$12*$B$15)</f>
        <v>20.364675298172568</v>
      </c>
      <c r="Z6" s="133">
        <f>_2088f</f>
        <v>2</v>
      </c>
      <c r="AA6" s="42" t="str">
        <f>IF(Z6="","","bis")</f>
        <v>bis</v>
      </c>
      <c r="AB6" s="134">
        <f>_2088g</f>
        <v>8</v>
      </c>
    </row>
    <row r="7" spans="1:28" ht="18" thickBot="1" x14ac:dyDescent="0.35">
      <c r="A7" s="21">
        <v>7</v>
      </c>
      <c r="B7" s="17">
        <f>(((SQRT(B5)*$B$3)/SQRT(3))*$C$15)/$A7</f>
        <v>335.93002186740733</v>
      </c>
      <c r="C7" s="17">
        <f>(((SQRT(C5)*$B$3)/SQRT(3))*$C$15)/$A7</f>
        <v>531.15200176558858</v>
      </c>
      <c r="D7" s="17">
        <f>(((SQRT(D5)*$B$3)/SQRT(3))*$C$15)/$A7</f>
        <v>671.86004373481467</v>
      </c>
      <c r="F7" s="106" t="str">
        <f>_1947b</f>
        <v>TeeJet</v>
      </c>
      <c r="G7" s="106" t="str">
        <f>_1947c</f>
        <v>TTI 110 06</v>
      </c>
      <c r="H7" s="132">
        <f>_1947h</f>
        <v>1</v>
      </c>
      <c r="I7" s="42" t="str">
        <f>IF(H7="","","bis")</f>
        <v>bis</v>
      </c>
      <c r="J7" s="18">
        <f>_1947i</f>
        <v>7</v>
      </c>
      <c r="K7" s="20">
        <f>(((SQRT($H7)*$B$3)/SQRT(3))*60000)/($B$12*$B$15)</f>
        <v>8.3138438763306119</v>
      </c>
      <c r="L7" s="42" t="str">
        <f>IF(K7="","","bis")</f>
        <v>bis</v>
      </c>
      <c r="M7" s="18">
        <f>(((SQRT($J7)*$B$3)/SQRT(3))*60000)/($B$12*$B$15)</f>
        <v>21.996363335788036</v>
      </c>
      <c r="N7" s="20">
        <f>_1947j</f>
        <v>1</v>
      </c>
      <c r="O7" s="42" t="str">
        <f>IF(N7="","","bis")</f>
        <v>bis</v>
      </c>
      <c r="P7" s="18">
        <f>_1947k</f>
        <v>4</v>
      </c>
      <c r="Q7" s="20">
        <f>(((SQRT($N7)*$B$3)/SQRT(3))*60000)/($B$12*$B$15)</f>
        <v>8.3138438763306119</v>
      </c>
      <c r="R7" s="42" t="str">
        <f>IF(Q7="","","bis")</f>
        <v>bis</v>
      </c>
      <c r="S7" s="18">
        <f>(((SQRT($P7)*$B$3)/SQRT(3))*60000)/($B$12*$B$15)</f>
        <v>16.627687752661224</v>
      </c>
      <c r="T7" s="20">
        <f>_1947l</f>
        <v>1</v>
      </c>
      <c r="U7" s="42" t="str">
        <f>IF(T7="","","bis")</f>
        <v>bis</v>
      </c>
      <c r="V7" s="18">
        <f>_1947m</f>
        <v>3</v>
      </c>
      <c r="W7" s="20">
        <f>(((SQRT($T7)*$B$3)/SQRT(3))*60000)/($B$12*$B$15)</f>
        <v>8.3138438763306119</v>
      </c>
      <c r="X7" s="42" t="str">
        <f>IF(W7="","","bis")</f>
        <v>bis</v>
      </c>
      <c r="Y7" s="18">
        <f>(((SQRT($V7)*$B$3)/SQRT(3))*60000)/($B$12*$B$15)</f>
        <v>14.4</v>
      </c>
      <c r="Z7" s="133">
        <f>_1947f</f>
        <v>1</v>
      </c>
      <c r="AA7" s="42" t="str">
        <f>IF(Z7="","","bis")</f>
        <v>bis</v>
      </c>
      <c r="AB7" s="134">
        <f>_1947g</f>
        <v>7</v>
      </c>
    </row>
    <row r="8" spans="1:28" ht="18" thickBot="1" x14ac:dyDescent="0.35">
      <c r="A8" s="21">
        <v>8</v>
      </c>
      <c r="B8" s="17">
        <f>(((SQRT(B5)*$B$3)/SQRT(3))*$C$15)/$A8</f>
        <v>293.9387691339814</v>
      </c>
      <c r="C8" s="17">
        <f>(((SQRT(C5)*$B$3)/SQRT(3))*1200)/$A8</f>
        <v>464.75800154489002</v>
      </c>
      <c r="D8" s="17">
        <f>(((SQRT(D5)*$B$3)/SQRT(3))*1200)/$A8</f>
        <v>587.87753826796279</v>
      </c>
      <c r="F8" s="106" t="str">
        <f>_2189b</f>
        <v>Wilger</v>
      </c>
      <c r="G8" s="106" t="str">
        <f>_2189c</f>
        <v>UR 110 06</v>
      </c>
      <c r="H8" s="132">
        <f>_2189h</f>
        <v>2</v>
      </c>
      <c r="I8" s="42" t="str">
        <f>IF(H8="","","bis")</f>
        <v>bis</v>
      </c>
      <c r="J8" s="18">
        <f>_2189i</f>
        <v>6</v>
      </c>
      <c r="K8" s="20">
        <f>(((SQRT($H8)*$B$3)/SQRT(3))*60000)/($B$12*$B$15)</f>
        <v>11.757550765359257</v>
      </c>
      <c r="L8" s="42" t="str">
        <f>IF(K8="","","bis")</f>
        <v>bis</v>
      </c>
      <c r="M8" s="18">
        <f>(((SQRT($J8)*$B$3)/SQRT(3))*60000)/($B$12*$B$15)</f>
        <v>20.364675298172568</v>
      </c>
      <c r="N8" s="20">
        <f>_2189j</f>
        <v>2</v>
      </c>
      <c r="O8" s="42" t="str">
        <f>IF(N8="","","bis")</f>
        <v>bis</v>
      </c>
      <c r="P8" s="18">
        <f>_2189k</f>
        <v>6</v>
      </c>
      <c r="Q8" s="20">
        <f>(((SQRT($N8)*$B$3)/SQRT(3))*60000)/($B$12*$B$15)</f>
        <v>11.757550765359257</v>
      </c>
      <c r="R8" s="42" t="str">
        <f>IF(Q8="","","bis")</f>
        <v>bis</v>
      </c>
      <c r="S8" s="18">
        <f>(((SQRT($P8)*$B$3)/SQRT(3))*60000)/($B$12*$B$15)</f>
        <v>20.364675298172568</v>
      </c>
      <c r="T8" s="20">
        <f>_2189l</f>
        <v>2</v>
      </c>
      <c r="U8" s="42" t="str">
        <f>IF(T8="","","bis")</f>
        <v>bis</v>
      </c>
      <c r="V8" s="18">
        <f>_2189m</f>
        <v>3</v>
      </c>
      <c r="W8" s="20">
        <f>(((SQRT($T8)*$B$3)/SQRT(3))*60000)/($B$12*$B$15)</f>
        <v>11.757550765359257</v>
      </c>
      <c r="X8" s="42" t="str">
        <f>IF(W8="","","bis")</f>
        <v>bis</v>
      </c>
      <c r="Y8" s="18">
        <f>(((SQRT($V8)*$B$3)/SQRT(3))*60000)/($B$12*$B$15)</f>
        <v>14.4</v>
      </c>
      <c r="Z8" s="133">
        <f>_2189f</f>
        <v>2</v>
      </c>
      <c r="AA8" s="42" t="str">
        <f>IF(Z8="","","bis")</f>
        <v>bis</v>
      </c>
      <c r="AB8" s="134">
        <f>_2189g</f>
        <v>6</v>
      </c>
    </row>
    <row r="9" spans="1:28" ht="18" thickBot="1" x14ac:dyDescent="0.35">
      <c r="A9" s="21">
        <v>9</v>
      </c>
      <c r="B9" s="17">
        <f>(((SQRT(B5)*$B$3)/SQRT(3))*$C$15)/$A9</f>
        <v>261.27890589687235</v>
      </c>
      <c r="C9" s="17">
        <f>(((SQRT(C5)*$B$3)/SQRT(3))*$C$15)/$A9</f>
        <v>413.11822359545778</v>
      </c>
      <c r="D9" s="17">
        <f>(((SQRT(D5)*$B$3)/SQRT(3))*$C$15)/$A9</f>
        <v>522.55781179374469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235.15101530718511</v>
      </c>
      <c r="C10" s="27">
        <f>(((SQRT(C5)*$B$3)/SQRT(3))*$C$15)/$A10</f>
        <v>371.80640123591201</v>
      </c>
      <c r="D10" s="27">
        <f>(((SQRT(D5)*$B$3)/SQRT(3))*$C$15)/$A10</f>
        <v>470.30203061437021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0.36168981481481477</v>
      </c>
      <c r="C13" s="26">
        <f>(B12*B14*B15)/60000</f>
        <v>0.83333333333333337</v>
      </c>
      <c r="D13" s="25">
        <f>POWER(((SQRT(3)*$E$13)/$B$3),2)</f>
        <v>4.1811342592592595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mGiwK6S633feCHGNhqxJt0wOcKs/e+Wkeh5Ady2PBTcKAtjG2L25Wa4al6qc11sYn9v9K98R9iwepZkgUuGXfg==" saltValue="kzC5pCknKXC/ZPjCNPkOhQ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111" priority="8" operator="greaterThan">
      <formula>$B$12</formula>
    </cfRule>
  </conditionalFormatting>
  <conditionalFormatting sqref="C6">
    <cfRule type="cellIs" dxfId="110" priority="14" operator="greaterThan">
      <formula>$B$12</formula>
    </cfRule>
  </conditionalFormatting>
  <conditionalFormatting sqref="B6">
    <cfRule type="cellIs" dxfId="109" priority="15" operator="greaterThan">
      <formula>$B$12</formula>
    </cfRule>
  </conditionalFormatting>
  <conditionalFormatting sqref="B7">
    <cfRule type="cellIs" dxfId="108" priority="12" operator="greaterThan">
      <formula>$B$12</formula>
    </cfRule>
  </conditionalFormatting>
  <conditionalFormatting sqref="D10">
    <cfRule type="cellIs" dxfId="107" priority="1" operator="greaterThan">
      <formula>$B$12</formula>
    </cfRule>
  </conditionalFormatting>
  <conditionalFormatting sqref="D6">
    <cfRule type="cellIs" dxfId="106" priority="13" operator="greaterThan">
      <formula>$B$12</formula>
    </cfRule>
  </conditionalFormatting>
  <conditionalFormatting sqref="C7">
    <cfRule type="cellIs" dxfId="105" priority="11" operator="greaterThan">
      <formula>$B$12</formula>
    </cfRule>
  </conditionalFormatting>
  <conditionalFormatting sqref="D7">
    <cfRule type="cellIs" dxfId="104" priority="10" operator="greaterThan">
      <formula>$B$12</formula>
    </cfRule>
  </conditionalFormatting>
  <conditionalFormatting sqref="B8">
    <cfRule type="cellIs" dxfId="103" priority="9" operator="greaterThan">
      <formula>$B$12</formula>
    </cfRule>
  </conditionalFormatting>
  <conditionalFormatting sqref="B10">
    <cfRule type="cellIs" dxfId="102" priority="7" operator="greaterThan">
      <formula>$B$12</formula>
    </cfRule>
  </conditionalFormatting>
  <conditionalFormatting sqref="C8">
    <cfRule type="cellIs" dxfId="101" priority="6" operator="greaterThan">
      <formula>$B$12</formula>
    </cfRule>
  </conditionalFormatting>
  <conditionalFormatting sqref="D8">
    <cfRule type="cellIs" dxfId="100" priority="5" operator="greaterThan">
      <formula>$B$12</formula>
    </cfRule>
  </conditionalFormatting>
  <conditionalFormatting sqref="C9">
    <cfRule type="cellIs" dxfId="99" priority="4" operator="greaterThan">
      <formula>$B$12</formula>
    </cfRule>
  </conditionalFormatting>
  <conditionalFormatting sqref="D9">
    <cfRule type="cellIs" dxfId="98" priority="3" operator="greaterThan">
      <formula>$B$12</formula>
    </cfRule>
  </conditionalFormatting>
  <conditionalFormatting sqref="C10">
    <cfRule type="cellIs" dxfId="9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1.33203125" style="1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7" t="s">
        <v>220</v>
      </c>
      <c r="B3" s="436">
        <v>2.4</v>
      </c>
      <c r="C3" s="436"/>
      <c r="D3" s="437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277.12812921102039</v>
      </c>
      <c r="C6" s="17">
        <f>(((SQRT(C5)*$B$3)/SQRT(3))*$C$15)/$A6</f>
        <v>480</v>
      </c>
      <c r="D6" s="17">
        <f>(((SQRT(D5)*$B$3)/SQRT(3))*$C$15)/$A6</f>
        <v>678.82250993908565</v>
      </c>
      <c r="F6" s="106" t="str">
        <f>_1935b</f>
        <v>Lechler</v>
      </c>
      <c r="G6" s="106" t="str">
        <f>_1935c</f>
        <v>IDKT 120 06</v>
      </c>
      <c r="H6" s="132">
        <f>_1935h</f>
        <v>1</v>
      </c>
      <c r="I6" s="42" t="str">
        <f>IF(H6="","","bis")</f>
        <v>bis</v>
      </c>
      <c r="J6" s="19">
        <f>_1935i</f>
        <v>6</v>
      </c>
      <c r="K6" s="20">
        <f>(((SQRT($H6)*$B$3)/SQRT(3))*60000)/($B$12*$B$15)</f>
        <v>8.3138438763306119</v>
      </c>
      <c r="L6" s="42" t="str">
        <f>IF(K6="","","bis")</f>
        <v>bis</v>
      </c>
      <c r="M6" s="18">
        <f>(((SQRT($J6)*$B$3)/SQRT(3))*60000)/($B$12*$B$15)</f>
        <v>20.364675298172568</v>
      </c>
      <c r="N6" s="19">
        <f>_1935j</f>
        <v>1</v>
      </c>
      <c r="O6" s="42" t="str">
        <f>IF(N6="","","bis")</f>
        <v>bis</v>
      </c>
      <c r="P6" s="18">
        <f>_1935k</f>
        <v>2</v>
      </c>
      <c r="Q6" s="20">
        <f>(((SQRT($N6)*$B$3)/SQRT(3))*60000)/($B$12*$B$15)</f>
        <v>8.3138438763306119</v>
      </c>
      <c r="R6" s="42" t="str">
        <f>IF(Q6="","","bis")</f>
        <v>bis</v>
      </c>
      <c r="S6" s="18">
        <f>(((SQRT($P6)*$B$3)/SQRT(3))*60000)/($B$12*$B$15)</f>
        <v>11.757550765359257</v>
      </c>
      <c r="T6" s="20">
        <f>_1935l</f>
        <v>1</v>
      </c>
      <c r="U6" s="42" t="str">
        <f>IF(T6="","","bis")</f>
        <v>bis</v>
      </c>
      <c r="V6" s="19">
        <f>_1935m</f>
        <v>1</v>
      </c>
      <c r="W6" s="20">
        <f>(((SQRT($T6)*$B$3)/SQRT(3))*60000)/($B$12*$B$15)</f>
        <v>8.3138438763306119</v>
      </c>
      <c r="X6" s="42" t="str">
        <f>IF(W6="","","bis")</f>
        <v>bis</v>
      </c>
      <c r="Y6" s="19">
        <f>(((SQRT($V6)*$B$3)/SQRT(3))*60000)/($B$12*$B$15)</f>
        <v>8.3138438763306119</v>
      </c>
      <c r="Z6" s="133">
        <f>_1935f</f>
        <v>1</v>
      </c>
      <c r="AA6" s="42" t="str">
        <f>IF(Z6="","","bis")</f>
        <v>bis</v>
      </c>
      <c r="AB6" s="134">
        <f>_1935g</f>
        <v>6</v>
      </c>
    </row>
    <row r="7" spans="1:28" ht="18" thickBot="1" x14ac:dyDescent="0.35">
      <c r="A7" s="21">
        <v>7</v>
      </c>
      <c r="B7" s="17">
        <f>(((SQRT(B5)*$B$3)/SQRT(3))*$C$15)/$A7</f>
        <v>237.53839646658889</v>
      </c>
      <c r="C7" s="17">
        <f>(((SQRT(C5)*$B$3)/SQRT(3))*$C$15)/$A7</f>
        <v>411.42857142857144</v>
      </c>
      <c r="D7" s="17">
        <f>(((SQRT(D5)*$B$3)/SQRT(3))*$C$15)/$A7</f>
        <v>581.84786566207345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207.84609690826528</v>
      </c>
      <c r="C8" s="17">
        <f>(((SQRT(C5)*$B$3)/SQRT(3))*1200)/$A8</f>
        <v>360</v>
      </c>
      <c r="D8" s="17">
        <f>(((SQRT(D5)*$B$3)/SQRT(3))*1200)/$A8</f>
        <v>509.11688245431424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184.75208614068026</v>
      </c>
      <c r="C9" s="17">
        <f>(((SQRT(C5)*$B$3)/SQRT(3))*$C$15)/$A9</f>
        <v>320</v>
      </c>
      <c r="D9" s="17">
        <f>(((SQRT(D5)*$B$3)/SQRT(3))*$C$15)/$A9</f>
        <v>452.54833995939043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166.27687752661222</v>
      </c>
      <c r="C10" s="27">
        <f>(((SQRT(C5)*$B$3)/SQRT(3))*$C$15)/$A10</f>
        <v>288</v>
      </c>
      <c r="D10" s="27">
        <f>(((SQRT(D5)*$B$3)/SQRT(3))*$C$15)/$A10</f>
        <v>407.29350596345137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0.36168981481481477</v>
      </c>
      <c r="C13" s="26">
        <f>(B12*B14*B15)/60000</f>
        <v>0.83333333333333337</v>
      </c>
      <c r="D13" s="25">
        <f>POWER(((SQRT(3)*$E$13)/$B$3),2)</f>
        <v>4.1811342592592595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P5rbMyW8X/zBhZyk6YRewEbRcOS+gSkcdnrur7ElmRV9OHGkTX5QeqibiwYKCZcyqeRCZQQbn4nOdM6l+ef50A==" saltValue="ixvCAFbP+LREP25P4wiXfw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96" priority="8" operator="greaterThan">
      <formula>$B$12</formula>
    </cfRule>
  </conditionalFormatting>
  <conditionalFormatting sqref="C6">
    <cfRule type="cellIs" dxfId="95" priority="14" operator="greaterThan">
      <formula>$B$12</formula>
    </cfRule>
  </conditionalFormatting>
  <conditionalFormatting sqref="B6">
    <cfRule type="cellIs" dxfId="94" priority="15" operator="greaterThan">
      <formula>$B$12</formula>
    </cfRule>
  </conditionalFormatting>
  <conditionalFormatting sqref="B7">
    <cfRule type="cellIs" dxfId="93" priority="12" operator="greaterThan">
      <formula>$B$12</formula>
    </cfRule>
  </conditionalFormatting>
  <conditionalFormatting sqref="D10">
    <cfRule type="cellIs" dxfId="92" priority="1" operator="greaterThan">
      <formula>$B$12</formula>
    </cfRule>
  </conditionalFormatting>
  <conditionalFormatting sqref="D6">
    <cfRule type="cellIs" dxfId="91" priority="13" operator="greaterThan">
      <formula>$B$12</formula>
    </cfRule>
  </conditionalFormatting>
  <conditionalFormatting sqref="C7">
    <cfRule type="cellIs" dxfId="90" priority="11" operator="greaterThan">
      <formula>$B$12</formula>
    </cfRule>
  </conditionalFormatting>
  <conditionalFormatting sqref="D7">
    <cfRule type="cellIs" dxfId="89" priority="10" operator="greaterThan">
      <formula>$B$12</formula>
    </cfRule>
  </conditionalFormatting>
  <conditionalFormatting sqref="B8">
    <cfRule type="cellIs" dxfId="88" priority="9" operator="greaterThan">
      <formula>$B$12</formula>
    </cfRule>
  </conditionalFormatting>
  <conditionalFormatting sqref="B10">
    <cfRule type="cellIs" dxfId="87" priority="7" operator="greaterThan">
      <formula>$B$12</formula>
    </cfRule>
  </conditionalFormatting>
  <conditionalFormatting sqref="C8">
    <cfRule type="cellIs" dxfId="86" priority="6" operator="greaterThan">
      <formula>$B$12</formula>
    </cfRule>
  </conditionalFormatting>
  <conditionalFormatting sqref="D8">
    <cfRule type="cellIs" dxfId="85" priority="5" operator="greaterThan">
      <formula>$B$12</formula>
    </cfRule>
  </conditionalFormatting>
  <conditionalFormatting sqref="C9">
    <cfRule type="cellIs" dxfId="84" priority="4" operator="greaterThan">
      <formula>$B$12</formula>
    </cfRule>
  </conditionalFormatting>
  <conditionalFormatting sqref="D9">
    <cfRule type="cellIs" dxfId="83" priority="3" operator="greaterThan">
      <formula>$B$12</formula>
    </cfRule>
  </conditionalFormatting>
  <conditionalFormatting sqref="C10">
    <cfRule type="cellIs" dxfId="8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6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7" t="s">
        <v>220</v>
      </c>
      <c r="B3" s="436">
        <v>2.4</v>
      </c>
      <c r="C3" s="436"/>
      <c r="D3" s="437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2</v>
      </c>
      <c r="C5" s="15">
        <v>5</v>
      </c>
      <c r="D5" s="15">
        <v>8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391.91835884530855</v>
      </c>
      <c r="C6" s="17">
        <f>(((SQRT(C5)*$B$3)/SQRT(3))*$C$15)/$A6</f>
        <v>619.6773353931867</v>
      </c>
      <c r="D6" s="17">
        <f>(((SQRT(D5)*$B$3)/SQRT(3))*$C$15)/$A6</f>
        <v>783.83671769061709</v>
      </c>
      <c r="F6" s="106" t="str">
        <f>_2161b</f>
        <v>TeeJet</v>
      </c>
      <c r="G6" s="106" t="str">
        <f>_2161c</f>
        <v>AITTJ60 110 06 VP</v>
      </c>
      <c r="H6" s="132">
        <f>_2161h</f>
        <v>1.5</v>
      </c>
      <c r="I6" s="42" t="str">
        <f>IF(H6="","","bis")</f>
        <v>bis</v>
      </c>
      <c r="J6" s="19">
        <f>_2161i</f>
        <v>8</v>
      </c>
      <c r="K6" s="20">
        <f>(((SQRT($H6)*$B$3)/SQRT(3))*60000)/($B$12*$B$15)</f>
        <v>10.182337649086284</v>
      </c>
      <c r="L6" s="42" t="str">
        <f>IF(K6="","","bis")</f>
        <v>bis</v>
      </c>
      <c r="M6" s="18">
        <f>(((SQRT($J6)*$B$3)/SQRT(3))*60000)/($B$12*$B$15)</f>
        <v>23.515101530718514</v>
      </c>
      <c r="N6" s="19">
        <f>_2161j</f>
        <v>1.5</v>
      </c>
      <c r="O6" s="42" t="str">
        <f>IF(N6="","","bis")</f>
        <v>bis</v>
      </c>
      <c r="P6" s="18">
        <f>_2161k</f>
        <v>8</v>
      </c>
      <c r="Q6" s="20">
        <f>(((SQRT($N6)*$B$3)/SQRT(3))*60000)/($B$12*$B$15)</f>
        <v>10.182337649086284</v>
      </c>
      <c r="R6" s="42" t="str">
        <f>IF(Q6="","","bis")</f>
        <v>bis</v>
      </c>
      <c r="S6" s="18">
        <f>(((SQRT($P6)*$B$3)/SQRT(3))*60000)/($B$12*$B$15)</f>
        <v>23.515101530718514</v>
      </c>
      <c r="T6" s="20">
        <f>_2161l</f>
        <v>1.5</v>
      </c>
      <c r="U6" s="42" t="str">
        <f>IF(T6="","","bis")</f>
        <v>bis</v>
      </c>
      <c r="V6" s="19">
        <f>_2161m</f>
        <v>3</v>
      </c>
      <c r="W6" s="20">
        <f>(((SQRT($T6)*$B$3)/SQRT(3))*60000)/($B$12*$B$15)</f>
        <v>10.182337649086284</v>
      </c>
      <c r="X6" s="42" t="str">
        <f>IF(W6="","","bis")</f>
        <v>bis</v>
      </c>
      <c r="Y6" s="19">
        <f>(((SQRT($V6)*$B$3)/SQRT(3))*60000)/($B$12*$B$15)</f>
        <v>14.4</v>
      </c>
      <c r="Z6" s="133">
        <f>_2161f</f>
        <v>1.5</v>
      </c>
      <c r="AA6" s="42" t="str">
        <f>IF(Z6="","","bis")</f>
        <v>bis</v>
      </c>
      <c r="AB6" s="134">
        <f>_2161g</f>
        <v>8</v>
      </c>
    </row>
    <row r="7" spans="1:28" ht="18" thickBot="1" x14ac:dyDescent="0.35">
      <c r="A7" s="21">
        <v>7</v>
      </c>
      <c r="B7" s="17">
        <f>(((SQRT(B5)*$B$3)/SQRT(3))*$C$15)/$A7</f>
        <v>335.93002186740733</v>
      </c>
      <c r="C7" s="17">
        <f>(((SQRT(C5)*$B$3)/SQRT(3))*$C$15)/$A7</f>
        <v>531.15200176558858</v>
      </c>
      <c r="D7" s="17">
        <f>(((SQRT(D5)*$B$3)/SQRT(3))*$C$15)/$A7</f>
        <v>671.86004373481467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293.9387691339814</v>
      </c>
      <c r="C8" s="17">
        <f>(((SQRT(C5)*$B$3)/SQRT(3))*1200)/$A8</f>
        <v>464.75800154489002</v>
      </c>
      <c r="D8" s="17">
        <f>(((SQRT(D5)*$B$3)/SQRT(3))*1200)/$A8</f>
        <v>587.87753826796279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261.27890589687235</v>
      </c>
      <c r="C9" s="17">
        <f>(((SQRT(C5)*$B$3)/SQRT(3))*$C$15)/$A9</f>
        <v>413.11822359545778</v>
      </c>
      <c r="D9" s="17">
        <f>(((SQRT(D5)*$B$3)/SQRT(3))*$C$15)/$A9</f>
        <v>522.55781179374469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235.15101530718511</v>
      </c>
      <c r="C10" s="27">
        <f>(((SQRT(C5)*$B$3)/SQRT(3))*$C$15)/$A10</f>
        <v>371.80640123591201</v>
      </c>
      <c r="D10" s="27">
        <f>(((SQRT(D5)*$B$3)/SQRT(3))*$C$15)/$A10</f>
        <v>470.30203061437021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0.36168981481481477</v>
      </c>
      <c r="C13" s="26">
        <f>(B12*B14*B15)/60000</f>
        <v>0.83333333333333337</v>
      </c>
      <c r="D13" s="25">
        <f>POWER(((SQRT(3)*$E$13)/$B$3),2)</f>
        <v>4.1811342592592595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C7wTTvTUkWXm4j7z017m6+K2MOunwBaeMIfBOvDW3m4RQcCvOmY24CLdk6Wamob6B3BHZ65Dv4UCL+jqcUQwAA==" saltValue="khsfXOWmV/GYmziU6yosBA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81" priority="8" operator="greaterThan">
      <formula>$B$12</formula>
    </cfRule>
  </conditionalFormatting>
  <conditionalFormatting sqref="C6">
    <cfRule type="cellIs" dxfId="80" priority="14" operator="greaterThan">
      <formula>$B$12</formula>
    </cfRule>
  </conditionalFormatting>
  <conditionalFormatting sqref="B6">
    <cfRule type="cellIs" dxfId="79" priority="15" operator="greaterThan">
      <formula>$B$12</formula>
    </cfRule>
  </conditionalFormatting>
  <conditionalFormatting sqref="B7">
    <cfRule type="cellIs" dxfId="78" priority="12" operator="greaterThan">
      <formula>$B$12</formula>
    </cfRule>
  </conditionalFormatting>
  <conditionalFormatting sqref="D10">
    <cfRule type="cellIs" dxfId="77" priority="1" operator="greaterThan">
      <formula>$B$12</formula>
    </cfRule>
  </conditionalFormatting>
  <conditionalFormatting sqref="D6">
    <cfRule type="cellIs" dxfId="76" priority="13" operator="greaterThan">
      <formula>$B$12</formula>
    </cfRule>
  </conditionalFormatting>
  <conditionalFormatting sqref="C7">
    <cfRule type="cellIs" dxfId="75" priority="11" operator="greaterThan">
      <formula>$B$12</formula>
    </cfRule>
  </conditionalFormatting>
  <conditionalFormatting sqref="D7">
    <cfRule type="cellIs" dxfId="74" priority="10" operator="greaterThan">
      <formula>$B$12</formula>
    </cfRule>
  </conditionalFormatting>
  <conditionalFormatting sqref="B8">
    <cfRule type="cellIs" dxfId="73" priority="9" operator="greaterThan">
      <formula>$B$12</formula>
    </cfRule>
  </conditionalFormatting>
  <conditionalFormatting sqref="B10">
    <cfRule type="cellIs" dxfId="72" priority="7" operator="greaterThan">
      <formula>$B$12</formula>
    </cfRule>
  </conditionalFormatting>
  <conditionalFormatting sqref="C8">
    <cfRule type="cellIs" dxfId="71" priority="6" operator="greaterThan">
      <formula>$B$12</formula>
    </cfRule>
  </conditionalFormatting>
  <conditionalFormatting sqref="D8">
    <cfRule type="cellIs" dxfId="70" priority="5" operator="greaterThan">
      <formula>$B$12</formula>
    </cfRule>
  </conditionalFormatting>
  <conditionalFormatting sqref="C9">
    <cfRule type="cellIs" dxfId="69" priority="4" operator="greaterThan">
      <formula>$B$12</formula>
    </cfRule>
  </conditionalFormatting>
  <conditionalFormatting sqref="D9">
    <cfRule type="cellIs" dxfId="68" priority="3" operator="greaterThan">
      <formula>$B$12</formula>
    </cfRule>
  </conditionalFormatting>
  <conditionalFormatting sqref="C10">
    <cfRule type="cellIs" dxfId="6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0.66406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7" t="s">
        <v>220</v>
      </c>
      <c r="B3" s="436">
        <v>2.4</v>
      </c>
      <c r="C3" s="436"/>
      <c r="D3" s="437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277.12812921102039</v>
      </c>
      <c r="C6" s="17">
        <f>(((SQRT(C5)*$B$3)/SQRT(3))*$C$15)/$A6</f>
        <v>480</v>
      </c>
      <c r="D6" s="17">
        <f>(((SQRT(D5)*$B$3)/SQRT(3))*$C$15)/$A6</f>
        <v>678.82250993908565</v>
      </c>
      <c r="F6" s="106" t="str">
        <f>_2281b</f>
        <v>TeeJet</v>
      </c>
      <c r="G6" s="106" t="str">
        <f>_2281c</f>
        <v>APTJ-11006VP</v>
      </c>
      <c r="H6" s="132">
        <f>_2281h</f>
        <v>2</v>
      </c>
      <c r="I6" s="42" t="str">
        <f>IF(H6="","","bis")</f>
        <v>bis</v>
      </c>
      <c r="J6" s="19">
        <f>_2281i</f>
        <v>7</v>
      </c>
      <c r="K6" s="20">
        <f>(((SQRT($H6)*$B$3)/SQRT(3))*60000)/($B$12*$B$15)</f>
        <v>11.757550765359257</v>
      </c>
      <c r="L6" s="42" t="str">
        <f>IF(K6="","","bis")</f>
        <v>bis</v>
      </c>
      <c r="M6" s="18">
        <f>(((SQRT($J6)*$B$3)/SQRT(3))*60000)/($B$12*$B$15)</f>
        <v>21.996363335788036</v>
      </c>
      <c r="N6" s="19">
        <f>_2281j</f>
        <v>2</v>
      </c>
      <c r="O6" s="42" t="str">
        <f>IF(N6="","","bis")</f>
        <v>bis</v>
      </c>
      <c r="P6" s="18">
        <f>_2281k</f>
        <v>5</v>
      </c>
      <c r="Q6" s="20">
        <f>(((SQRT($N6)*$B$3)/SQRT(3))*60000)/($B$12*$B$15)</f>
        <v>11.757550765359257</v>
      </c>
      <c r="R6" s="42" t="str">
        <f>IF(Q6="","","bis")</f>
        <v>bis</v>
      </c>
      <c r="S6" s="18">
        <f>(((SQRT($P6)*$B$3)/SQRT(3))*60000)/($B$12*$B$15)</f>
        <v>18.590320061795602</v>
      </c>
      <c r="T6" s="20">
        <f>_2281l</f>
        <v>2</v>
      </c>
      <c r="U6" s="42" t="str">
        <f>IF(T6="","","bis")</f>
        <v>bis</v>
      </c>
      <c r="V6" s="19">
        <f>_2281m</f>
        <v>3</v>
      </c>
      <c r="W6" s="20">
        <f>(((SQRT($T6)*$B$3)/SQRT(3))*60000)/($B$12*$B$15)</f>
        <v>11.757550765359257</v>
      </c>
      <c r="X6" s="42" t="str">
        <f>IF(W6="","","bis")</f>
        <v>bis</v>
      </c>
      <c r="Y6" s="19">
        <f>(((SQRT($V6)*$B$3)/SQRT(3))*60000)/($B$12*$B$15)</f>
        <v>14.4</v>
      </c>
      <c r="Z6" s="133">
        <f>_2281f</f>
        <v>2</v>
      </c>
      <c r="AA6" s="42" t="str">
        <f>IF(Z6="","","bis")</f>
        <v>bis</v>
      </c>
      <c r="AB6" s="134">
        <f>_2281g</f>
        <v>7</v>
      </c>
    </row>
    <row r="7" spans="1:28" ht="18" thickBot="1" x14ac:dyDescent="0.35">
      <c r="A7" s="21">
        <v>7</v>
      </c>
      <c r="B7" s="17">
        <f>(((SQRT(B5)*$B$3)/SQRT(3))*$C$15)/$A7</f>
        <v>237.53839646658889</v>
      </c>
      <c r="C7" s="17">
        <f>(((SQRT(C5)*$B$3)/SQRT(3))*$C$15)/$A7</f>
        <v>411.42857142857144</v>
      </c>
      <c r="D7" s="17">
        <f>(((SQRT(D5)*$B$3)/SQRT(3))*$C$15)/$A7</f>
        <v>581.84786566207345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207.84609690826528</v>
      </c>
      <c r="C8" s="17">
        <f>(((SQRT(C5)*$B$3)/SQRT(3))*1200)/$A8</f>
        <v>360</v>
      </c>
      <c r="D8" s="17">
        <f>(((SQRT(D5)*$B$3)/SQRT(3))*1200)/$A8</f>
        <v>509.11688245431424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184.75208614068026</v>
      </c>
      <c r="C9" s="17">
        <f>(((SQRT(C5)*$B$3)/SQRT(3))*$C$15)/$A9</f>
        <v>320</v>
      </c>
      <c r="D9" s="17">
        <f>(((SQRT(D5)*$B$3)/SQRT(3))*$C$15)/$A9</f>
        <v>452.54833995939043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166.27687752661222</v>
      </c>
      <c r="C10" s="27">
        <f>(((SQRT(C5)*$B$3)/SQRT(3))*$C$15)/$A10</f>
        <v>288</v>
      </c>
      <c r="D10" s="27">
        <f>(((SQRT(D5)*$B$3)/SQRT(3))*$C$15)/$A10</f>
        <v>407.29350596345137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0.36168981481481477</v>
      </c>
      <c r="C13" s="26">
        <f>(B12*B14*B15)/60000</f>
        <v>0.83333333333333337</v>
      </c>
      <c r="D13" s="25">
        <f>POWER(((SQRT(3)*$E$13)/$B$3),2)</f>
        <v>4.1811342592592595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FFq2olYKbpuBzjys6eyPLRtbJRpBiDz5Srq7B8FY84BPNZJ1+nC69CRFJXrPCISdXR+tPsY1eh7w8l/uR/86Sg==" saltValue="HQ30ugYjAaa0avbaRBbQUQ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66" priority="8" operator="greaterThan">
      <formula>$B$12</formula>
    </cfRule>
  </conditionalFormatting>
  <conditionalFormatting sqref="C6">
    <cfRule type="cellIs" dxfId="65" priority="14" operator="greaterThan">
      <formula>$B$12</formula>
    </cfRule>
  </conditionalFormatting>
  <conditionalFormatting sqref="B6">
    <cfRule type="cellIs" dxfId="64" priority="15" operator="greaterThan">
      <formula>$B$12</formula>
    </cfRule>
  </conditionalFormatting>
  <conditionalFormatting sqref="B7">
    <cfRule type="cellIs" dxfId="63" priority="12" operator="greaterThan">
      <formula>$B$12</formula>
    </cfRule>
  </conditionalFormatting>
  <conditionalFormatting sqref="D10">
    <cfRule type="cellIs" dxfId="62" priority="1" operator="greaterThan">
      <formula>$B$12</formula>
    </cfRule>
  </conditionalFormatting>
  <conditionalFormatting sqref="D6">
    <cfRule type="cellIs" dxfId="61" priority="13" operator="greaterThan">
      <formula>$B$12</formula>
    </cfRule>
  </conditionalFormatting>
  <conditionalFormatting sqref="C7">
    <cfRule type="cellIs" dxfId="60" priority="11" operator="greaterThan">
      <formula>$B$12</formula>
    </cfRule>
  </conditionalFormatting>
  <conditionalFormatting sqref="D7">
    <cfRule type="cellIs" dxfId="59" priority="10" operator="greaterThan">
      <formula>$B$12</formula>
    </cfRule>
  </conditionalFormatting>
  <conditionalFormatting sqref="B8">
    <cfRule type="cellIs" dxfId="58" priority="9" operator="greaterThan">
      <formula>$B$12</formula>
    </cfRule>
  </conditionalFormatting>
  <conditionalFormatting sqref="B10">
    <cfRule type="cellIs" dxfId="57" priority="7" operator="greaterThan">
      <formula>$B$12</formula>
    </cfRule>
  </conditionalFormatting>
  <conditionalFormatting sqref="C8">
    <cfRule type="cellIs" dxfId="56" priority="6" operator="greaterThan">
      <formula>$B$12</formula>
    </cfRule>
  </conditionalFormatting>
  <conditionalFormatting sqref="D8">
    <cfRule type="cellIs" dxfId="55" priority="5" operator="greaterThan">
      <formula>$B$12</formula>
    </cfRule>
  </conditionalFormatting>
  <conditionalFormatting sqref="C9">
    <cfRule type="cellIs" dxfId="54" priority="4" operator="greaterThan">
      <formula>$B$12</formula>
    </cfRule>
  </conditionalFormatting>
  <conditionalFormatting sqref="D9">
    <cfRule type="cellIs" dxfId="53" priority="3" operator="greaterThan">
      <formula>$B$12</formula>
    </cfRule>
  </conditionalFormatting>
  <conditionalFormatting sqref="C10">
    <cfRule type="cellIs" dxfId="5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20.664062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37" t="s">
        <v>220</v>
      </c>
      <c r="B3" s="436">
        <v>2.4</v>
      </c>
      <c r="C3" s="436"/>
      <c r="D3" s="437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277.12812921102039</v>
      </c>
      <c r="C6" s="17">
        <f>(((SQRT(C5)*$B$3)/SQRT(3))*$C$15)/$A6</f>
        <v>480</v>
      </c>
      <c r="D6" s="17">
        <f>(((SQRT(D5)*$B$3)/SQRT(3))*$C$15)/$A6</f>
        <v>678.82250993908565</v>
      </c>
      <c r="F6" s="106" t="str">
        <f>Abdrift!B19</f>
        <v>TeeJet</v>
      </c>
      <c r="G6" s="106" t="str">
        <f>Abdrift!C19</f>
        <v>APTJ-11006VP</v>
      </c>
      <c r="H6" s="132">
        <f>Abdrift!H19</f>
        <v>2</v>
      </c>
      <c r="I6" s="42" t="str">
        <f>IF(H6="","","bis")</f>
        <v>bis</v>
      </c>
      <c r="J6" s="19">
        <f>Abdrift!I19</f>
        <v>7</v>
      </c>
      <c r="K6" s="20">
        <f>(((SQRT($H6)*$B$3)/SQRT(3))*60000)/($B$12*$B$15)</f>
        <v>11.757550765359257</v>
      </c>
      <c r="L6" s="42" t="str">
        <f>IF(K6="","","bis")</f>
        <v>bis</v>
      </c>
      <c r="M6" s="18">
        <f>(((SQRT($J6)*$B$3)/SQRT(3))*60000)/($B$12*$B$15)</f>
        <v>21.996363335788036</v>
      </c>
      <c r="N6" s="19">
        <f>Abdrift!J19</f>
        <v>2</v>
      </c>
      <c r="O6" s="42" t="str">
        <f>IF(N6="","","bis")</f>
        <v>bis</v>
      </c>
      <c r="P6" s="18">
        <f>Abdrift!K19</f>
        <v>5</v>
      </c>
      <c r="Q6" s="20">
        <f>(((SQRT($N6)*$B$3)/SQRT(3))*60000)/($B$12*$B$15)</f>
        <v>11.757550765359257</v>
      </c>
      <c r="R6" s="42" t="str">
        <f>IF(Q6="","","bis")</f>
        <v>bis</v>
      </c>
      <c r="S6" s="18">
        <f>(((SQRT($P6)*$B$3)/SQRT(3))*60000)/($B$12*$B$15)</f>
        <v>18.590320061795602</v>
      </c>
      <c r="T6" s="20">
        <f>Abdrift!L19</f>
        <v>2</v>
      </c>
      <c r="U6" s="42" t="str">
        <f>IF(T6="","","bis")</f>
        <v>bis</v>
      </c>
      <c r="V6" s="19">
        <f>Abdrift!M19</f>
        <v>3</v>
      </c>
      <c r="W6" s="20">
        <f>(((SQRT($T6)*$B$3)/SQRT(3))*60000)/($B$12*$B$15)</f>
        <v>11.757550765359257</v>
      </c>
      <c r="X6" s="42" t="str">
        <f>IF(W6="","","bis")</f>
        <v>bis</v>
      </c>
      <c r="Y6" s="19">
        <f>(((SQRT($V6)*$B$3)/SQRT(3))*60000)/($B$12*$B$15)</f>
        <v>14.4</v>
      </c>
      <c r="Z6" s="133">
        <f>Abdrift!F19</f>
        <v>2</v>
      </c>
      <c r="AA6" s="42" t="str">
        <f>IF(Z6="","","bis")</f>
        <v>bis</v>
      </c>
      <c r="AB6" s="134">
        <f>Abdrift!G19</f>
        <v>7</v>
      </c>
    </row>
    <row r="7" spans="1:28" ht="18" thickBot="1" x14ac:dyDescent="0.35">
      <c r="A7" s="21">
        <v>7</v>
      </c>
      <c r="B7" s="17">
        <f>(((SQRT(B5)*$B$3)/SQRT(3))*$C$15)/$A7</f>
        <v>237.53839646658889</v>
      </c>
      <c r="C7" s="17">
        <f>(((SQRT(C5)*$B$3)/SQRT(3))*$C$15)/$A7</f>
        <v>411.42857142857144</v>
      </c>
      <c r="D7" s="17">
        <f>(((SQRT(D5)*$B$3)/SQRT(3))*$C$15)/$A7</f>
        <v>581.84786566207345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207.84609690826528</v>
      </c>
      <c r="C8" s="17">
        <f>(((SQRT(C5)*$B$3)/SQRT(3))*1200)/$A8</f>
        <v>360</v>
      </c>
      <c r="D8" s="17">
        <f>(((SQRT(D5)*$B$3)/SQRT(3))*1200)/$A8</f>
        <v>509.11688245431424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184.75208614068026</v>
      </c>
      <c r="C9" s="17">
        <f>(((SQRT(C5)*$B$3)/SQRT(3))*$C$15)/$A9</f>
        <v>320</v>
      </c>
      <c r="D9" s="17">
        <f>(((SQRT(D5)*$B$3)/SQRT(3))*$C$15)/$A9</f>
        <v>452.54833995939043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166.27687752661222</v>
      </c>
      <c r="C10" s="27">
        <f>(((SQRT(C5)*$B$3)/SQRT(3))*$C$15)/$A10</f>
        <v>288</v>
      </c>
      <c r="D10" s="27">
        <f>(((SQRT(D5)*$B$3)/SQRT(3))*$C$15)/$A10</f>
        <v>407.29350596345137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8" ht="18" thickBot="1" x14ac:dyDescent="0.35">
      <c r="A13" s="23" t="s">
        <v>57</v>
      </c>
      <c r="B13" s="25">
        <f>POWER(((SQRT(3)*$C$13)/$B$3),2)</f>
        <v>0.36168981481481477</v>
      </c>
      <c r="C13" s="26">
        <f>(B12*B14*B15)/60000</f>
        <v>0.83333333333333337</v>
      </c>
      <c r="D13" s="25">
        <f>POWER(((SQRT(3)*$E$13)/$B$3),2)</f>
        <v>4.1811342592592595</v>
      </c>
      <c r="E13" s="26">
        <f>(D12*D14*D15)/60000</f>
        <v>2.8333333333333335</v>
      </c>
    </row>
    <row r="14" spans="1:28" ht="18" thickBot="1" x14ac:dyDescent="0.35">
      <c r="A14" s="23" t="s">
        <v>58</v>
      </c>
      <c r="B14" s="9">
        <v>5</v>
      </c>
      <c r="D14" s="168">
        <f>Tabelle1!A4</f>
        <v>17</v>
      </c>
    </row>
    <row r="15" spans="1:28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rUN9dXQ4hsRsyc7KgLIpWV8I3hxk+H0mCzl/+XywifcTcuNDnBxEqwoUpbod5L4XbXTAesCYfoeyH1pDwTVdgQ==" saltValue="VKMYfnQ6y4NiGwc96Ai3Rw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9">
    <cfRule type="cellIs" dxfId="51" priority="8" operator="greaterThan">
      <formula>$B$12</formula>
    </cfRule>
  </conditionalFormatting>
  <conditionalFormatting sqref="C6">
    <cfRule type="cellIs" dxfId="50" priority="14" operator="greaterThan">
      <formula>$B$12</formula>
    </cfRule>
  </conditionalFormatting>
  <conditionalFormatting sqref="B6">
    <cfRule type="cellIs" dxfId="49" priority="15" operator="greaterThan">
      <formula>$B$12</formula>
    </cfRule>
  </conditionalFormatting>
  <conditionalFormatting sqref="B7">
    <cfRule type="cellIs" dxfId="48" priority="12" operator="greaterThan">
      <formula>$B$12</formula>
    </cfRule>
  </conditionalFormatting>
  <conditionalFormatting sqref="D10">
    <cfRule type="cellIs" dxfId="47" priority="1" operator="greaterThan">
      <formula>$B$12</formula>
    </cfRule>
  </conditionalFormatting>
  <conditionalFormatting sqref="D6">
    <cfRule type="cellIs" dxfId="46" priority="13" operator="greaterThan">
      <formula>$B$12</formula>
    </cfRule>
  </conditionalFormatting>
  <conditionalFormatting sqref="C7">
    <cfRule type="cellIs" dxfId="45" priority="11" operator="greaterThan">
      <formula>$B$12</formula>
    </cfRule>
  </conditionalFormatting>
  <conditionalFormatting sqref="D7">
    <cfRule type="cellIs" dxfId="44" priority="10" operator="greaterThan">
      <formula>$B$12</formula>
    </cfRule>
  </conditionalFormatting>
  <conditionalFormatting sqref="B8">
    <cfRule type="cellIs" dxfId="43" priority="9" operator="greaterThan">
      <formula>$B$12</formula>
    </cfRule>
  </conditionalFormatting>
  <conditionalFormatting sqref="B10">
    <cfRule type="cellIs" dxfId="42" priority="7" operator="greaterThan">
      <formula>$B$12</formula>
    </cfRule>
  </conditionalFormatting>
  <conditionalFormatting sqref="C8">
    <cfRule type="cellIs" dxfId="41" priority="6" operator="greaterThan">
      <formula>$B$12</formula>
    </cfRule>
  </conditionalFormatting>
  <conditionalFormatting sqref="D8">
    <cfRule type="cellIs" dxfId="40" priority="5" operator="greaterThan">
      <formula>$B$12</formula>
    </cfRule>
  </conditionalFormatting>
  <conditionalFormatting sqref="C9">
    <cfRule type="cellIs" dxfId="39" priority="4" operator="greaterThan">
      <formula>$B$12</formula>
    </cfRule>
  </conditionalFormatting>
  <conditionalFormatting sqref="D9">
    <cfRule type="cellIs" dxfId="38" priority="3" operator="greaterThan">
      <formula>$B$12</formula>
    </cfRule>
  </conditionalFormatting>
  <conditionalFormatting sqref="C10">
    <cfRule type="cellIs" dxfId="3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6.88671875" style="11" bestFit="1" customWidth="1"/>
    <col min="8" max="8" width="14.109375" style="11" customWidth="1"/>
    <col min="9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9" x14ac:dyDescent="0.3">
      <c r="A1" s="10"/>
    </row>
    <row r="2" spans="1:29" ht="18" thickBot="1" x14ac:dyDescent="0.35"/>
    <row r="3" spans="1:29" ht="18" thickBot="1" x14ac:dyDescent="0.35">
      <c r="A3" s="37" t="s">
        <v>220</v>
      </c>
      <c r="B3" s="436">
        <v>2.4</v>
      </c>
      <c r="C3" s="436"/>
      <c r="D3" s="437"/>
    </row>
    <row r="4" spans="1:29" ht="18" thickBot="1" x14ac:dyDescent="0.35">
      <c r="G4" s="110" t="str">
        <f>"06"</f>
        <v>06</v>
      </c>
      <c r="H4" s="110" t="str">
        <f>"06"</f>
        <v>06</v>
      </c>
      <c r="I4" s="381">
        <v>50</v>
      </c>
      <c r="J4" s="382"/>
      <c r="K4" s="382"/>
      <c r="L4" s="382"/>
      <c r="M4" s="382"/>
      <c r="N4" s="399"/>
      <c r="O4" s="383">
        <v>75</v>
      </c>
      <c r="P4" s="383"/>
      <c r="Q4" s="383"/>
      <c r="R4" s="383"/>
      <c r="S4" s="383"/>
      <c r="T4" s="400"/>
      <c r="U4" s="384">
        <v>90</v>
      </c>
      <c r="V4" s="385"/>
      <c r="W4" s="385"/>
      <c r="X4" s="385"/>
      <c r="Y4" s="385"/>
      <c r="Z4" s="401"/>
      <c r="AA4" s="391" t="s">
        <v>53</v>
      </c>
      <c r="AB4" s="392"/>
      <c r="AC4" s="393"/>
    </row>
    <row r="5" spans="1:29" ht="18" thickBot="1" x14ac:dyDescent="0.35">
      <c r="A5" s="13" t="s">
        <v>52</v>
      </c>
      <c r="B5" s="14">
        <v>1</v>
      </c>
      <c r="C5" s="15">
        <v>4</v>
      </c>
      <c r="D5" s="15">
        <v>8</v>
      </c>
      <c r="E5" s="104"/>
      <c r="F5" s="13" t="s">
        <v>9</v>
      </c>
      <c r="G5" s="13" t="s">
        <v>200</v>
      </c>
      <c r="H5" s="13" t="s">
        <v>198</v>
      </c>
      <c r="I5" s="402" t="s">
        <v>14</v>
      </c>
      <c r="J5" s="403"/>
      <c r="K5" s="404"/>
      <c r="L5" s="381" t="s">
        <v>55</v>
      </c>
      <c r="M5" s="382"/>
      <c r="N5" s="399"/>
      <c r="O5" s="405" t="s">
        <v>14</v>
      </c>
      <c r="P5" s="383"/>
      <c r="Q5" s="400"/>
      <c r="R5" s="405" t="s">
        <v>55</v>
      </c>
      <c r="S5" s="383"/>
      <c r="T5" s="400"/>
      <c r="U5" s="384" t="s">
        <v>14</v>
      </c>
      <c r="V5" s="385"/>
      <c r="W5" s="401"/>
      <c r="X5" s="388" t="s">
        <v>55</v>
      </c>
      <c r="Y5" s="389"/>
      <c r="Z5" s="390"/>
      <c r="AA5" s="394"/>
      <c r="AB5" s="395"/>
      <c r="AC5" s="396"/>
    </row>
    <row r="6" spans="1:29" ht="18" thickBot="1" x14ac:dyDescent="0.35">
      <c r="A6" s="16">
        <v>6</v>
      </c>
      <c r="B6" s="17">
        <f>(((SQRT(B5)*$B$3)/SQRT(3))*$C$15)/$A6</f>
        <v>277.12812921102039</v>
      </c>
      <c r="C6" s="17">
        <f>(((SQRT(C5)*$B$3)/SQRT(3))*$C$15)/$A6</f>
        <v>554.25625842204079</v>
      </c>
      <c r="D6" s="17">
        <f>(((SQRT(D5)*$B$3)/SQRT(3))*$C$15)/$A6</f>
        <v>783.83671769061709</v>
      </c>
      <c r="E6" s="105"/>
      <c r="F6" s="106" t="str">
        <f>_1998b</f>
        <v>Lechler</v>
      </c>
      <c r="G6" s="106" t="str">
        <f>_1998t</f>
        <v>IDK 120 06</v>
      </c>
      <c r="H6" s="106" t="str">
        <f>_1998c</f>
        <v>IDKS 80 06</v>
      </c>
      <c r="I6" s="132">
        <f>_1998h</f>
        <v>1</v>
      </c>
      <c r="J6" s="42" t="str">
        <f>IF(I6="","","bis")</f>
        <v>bis</v>
      </c>
      <c r="K6" s="19">
        <f>_1998i</f>
        <v>6</v>
      </c>
      <c r="L6" s="20">
        <f>(((SQRT($I6)*$B$3)/SQRT(3))*60000)/($B$12*$B$15)</f>
        <v>8.3138438763306119</v>
      </c>
      <c r="M6" s="42" t="str">
        <f>IF(L6="","","bis")</f>
        <v>bis</v>
      </c>
      <c r="N6" s="18">
        <f>(((SQRT($K6)*$B$3)/SQRT(3))*60000)/($B$12*$B$15)</f>
        <v>20.364675298172568</v>
      </c>
      <c r="O6" s="19">
        <f>_1998j</f>
        <v>1</v>
      </c>
      <c r="P6" s="42" t="str">
        <f>IF(O6="","","bis")</f>
        <v>bis</v>
      </c>
      <c r="Q6" s="18">
        <f>_1998k</f>
        <v>3</v>
      </c>
      <c r="R6" s="20">
        <f>(((SQRT($O6)*$B$3)/SQRT(3))*60000)/($B$12*$B$15)</f>
        <v>8.3138438763306119</v>
      </c>
      <c r="S6" s="42" t="str">
        <f>IF(R6="","","bis")</f>
        <v>bis</v>
      </c>
      <c r="T6" s="18">
        <f>(((SQRT($Q6)*$B$3)/SQRT(3))*60000)/($B$12*$B$15)</f>
        <v>14.4</v>
      </c>
      <c r="U6" s="20">
        <f>_1998l</f>
        <v>1</v>
      </c>
      <c r="V6" s="42" t="str">
        <f>IF(U6="","","bis")</f>
        <v>bis</v>
      </c>
      <c r="W6" s="19">
        <f>_1998m</f>
        <v>1</v>
      </c>
      <c r="X6" s="20">
        <f>(((SQRT($U6)*$B$3)/SQRT(3))*60000)/($B$12*$B$15)</f>
        <v>8.3138438763306119</v>
      </c>
      <c r="Y6" s="42" t="str">
        <f>IF(X6="","","bis")</f>
        <v>bis</v>
      </c>
      <c r="Z6" s="19">
        <f>(((SQRT($W6)*$B$3)/SQRT(3))*60000)/($B$12*$B$15)</f>
        <v>8.3138438763306119</v>
      </c>
      <c r="AA6" s="133">
        <f>_1998f</f>
        <v>1</v>
      </c>
      <c r="AB6" s="42" t="str">
        <f>IF(AA6="","","bis")</f>
        <v>bis</v>
      </c>
      <c r="AC6" s="134">
        <f>_1998g</f>
        <v>6</v>
      </c>
    </row>
    <row r="7" spans="1:29" ht="18" thickBot="1" x14ac:dyDescent="0.35">
      <c r="A7" s="21">
        <v>7</v>
      </c>
      <c r="B7" s="17">
        <f>(((SQRT(B5)*$B$3)/SQRT(3))*$C$15)/$A7</f>
        <v>237.53839646658889</v>
      </c>
      <c r="C7" s="17">
        <f>(((SQRT(C5)*$B$3)/SQRT(3))*$C$15)/$A7</f>
        <v>475.07679293317779</v>
      </c>
      <c r="D7" s="17">
        <f>(((SQRT(D5)*$B$3)/SQRT(3))*$C$15)/$A7</f>
        <v>671.86004373481467</v>
      </c>
      <c r="E7" s="105"/>
      <c r="F7" s="106" t="str">
        <f>_b1998b</f>
        <v>Lechler</v>
      </c>
      <c r="G7" s="106" t="str">
        <f>_b1998t</f>
        <v>IDKT 120 06</v>
      </c>
      <c r="H7" s="106" t="str">
        <f>_b1998c</f>
        <v>IDKS 80 06</v>
      </c>
      <c r="I7" s="132">
        <f>_b1998h</f>
        <v>1</v>
      </c>
      <c r="J7" s="42" t="str">
        <f>IF(I7="","","bis")</f>
        <v>bis</v>
      </c>
      <c r="K7" s="18">
        <f>_b1998i</f>
        <v>6</v>
      </c>
      <c r="L7" s="20">
        <f>(((SQRT($I7)*$B$3)/SQRT(3))*60000)/($B$12*$B$15)</f>
        <v>8.3138438763306119</v>
      </c>
      <c r="M7" s="42" t="str">
        <f>IF(L7="","","bis")</f>
        <v>bis</v>
      </c>
      <c r="N7" s="18">
        <f>(((SQRT($K7)*$B$3)/SQRT(3))*60000)/($B$12*$B$15)</f>
        <v>20.364675298172568</v>
      </c>
      <c r="O7" s="20">
        <f>_b1998j</f>
        <v>1</v>
      </c>
      <c r="P7" s="42" t="str">
        <f>IF(O7="","","bis")</f>
        <v>bis</v>
      </c>
      <c r="Q7" s="18">
        <f>_b1998k</f>
        <v>2</v>
      </c>
      <c r="R7" s="20">
        <f>(((SQRT($O7)*$B$3)/SQRT(3))*60000)/($B$12*$B$15)</f>
        <v>8.3138438763306119</v>
      </c>
      <c r="S7" s="42" t="str">
        <f>IF(R7="","","bis")</f>
        <v>bis</v>
      </c>
      <c r="T7" s="18">
        <f>(((SQRT($Q7)*$B$3)/SQRT(3))*60000)/($B$12*$B$15)</f>
        <v>11.757550765359257</v>
      </c>
      <c r="U7" s="20">
        <f>_b1998l</f>
        <v>1</v>
      </c>
      <c r="V7" s="42" t="str">
        <f>IF(U7="","","bis")</f>
        <v>bis</v>
      </c>
      <c r="W7" s="18">
        <f>_b1998m</f>
        <v>1</v>
      </c>
      <c r="X7" s="20">
        <f>(((SQRT($U7)*$B$3)/SQRT(3))*60000)/($B$12*$B$15)</f>
        <v>8.3138438763306119</v>
      </c>
      <c r="Y7" s="42" t="str">
        <f>IF(X7="","","bis")</f>
        <v>bis</v>
      </c>
      <c r="Z7" s="18">
        <f>(((SQRT($W7)*$B$3)/SQRT(3))*60000)/($B$12*$B$15)</f>
        <v>8.3138438763306119</v>
      </c>
      <c r="AA7" s="133">
        <f>_b1998f</f>
        <v>1</v>
      </c>
      <c r="AB7" s="42" t="str">
        <f>IF(AA7="","","bis")</f>
        <v>bis</v>
      </c>
      <c r="AC7" s="134">
        <f>_b1998g</f>
        <v>6</v>
      </c>
    </row>
    <row r="8" spans="1:29" ht="18" thickBot="1" x14ac:dyDescent="0.35">
      <c r="A8" s="21">
        <v>8</v>
      </c>
      <c r="B8" s="17">
        <f>(((SQRT(B5)*$B$3)/SQRT(3))*$C$15)/$A8</f>
        <v>207.84609690826528</v>
      </c>
      <c r="C8" s="17">
        <f>(((SQRT(C5)*$B$3)/SQRT(3))*1200)/$A8</f>
        <v>415.69219381653056</v>
      </c>
      <c r="D8" s="17">
        <f>(((SQRT(D5)*$B$3)/SQRT(3))*1200)/$A8</f>
        <v>587.87753826796279</v>
      </c>
      <c r="E8" s="105"/>
      <c r="F8" s="106" t="str">
        <f>_2087b</f>
        <v>Lechler</v>
      </c>
      <c r="G8" s="106" t="str">
        <f>_2087t</f>
        <v>ID (3) 120 06</v>
      </c>
      <c r="H8" s="106" t="str">
        <f>_2087c</f>
        <v>IS 80 06</v>
      </c>
      <c r="I8" s="132">
        <f>_2087h</f>
        <v>2</v>
      </c>
      <c r="J8" s="42" t="str">
        <f>IF(I8="","","bis")</f>
        <v>bis</v>
      </c>
      <c r="K8" s="18">
        <f>_2087i</f>
        <v>8</v>
      </c>
      <c r="L8" s="20">
        <f>(((SQRT($I8)*$B$3)/SQRT(3))*60000)/($B$12*$B$15)</f>
        <v>11.757550765359257</v>
      </c>
      <c r="M8" s="42" t="str">
        <f>IF(L8="","","bis")</f>
        <v>bis</v>
      </c>
      <c r="N8" s="18">
        <f>(((SQRT($K8)*$B$3)/SQRT(3))*60000)/($B$12*$B$15)</f>
        <v>23.515101530718514</v>
      </c>
      <c r="O8" s="20">
        <f>_2087j</f>
        <v>2</v>
      </c>
      <c r="P8" s="42" t="str">
        <f>IF(O8="","","bis")</f>
        <v>bis</v>
      </c>
      <c r="Q8" s="18">
        <f>_2087k</f>
        <v>8</v>
      </c>
      <c r="R8" s="20">
        <f>(((SQRT($O8)*$B$3)/SQRT(3))*60000)/($B$12*$B$15)</f>
        <v>11.757550765359257</v>
      </c>
      <c r="S8" s="42" t="str">
        <f>IF(R8="","","bis")</f>
        <v>bis</v>
      </c>
      <c r="T8" s="18">
        <f>(((SQRT($Q8)*$B$3)/SQRT(3))*60000)/($B$12*$B$15)</f>
        <v>23.515101530718514</v>
      </c>
      <c r="U8" s="20">
        <f>_2087l</f>
        <v>2</v>
      </c>
      <c r="V8" s="42" t="str">
        <f>IF(U8="","","bis")</f>
        <v>bis</v>
      </c>
      <c r="W8" s="18">
        <f>_2087m</f>
        <v>6</v>
      </c>
      <c r="X8" s="20">
        <f>(((SQRT($U8)*$B$3)/SQRT(3))*60000)/($B$12*$B$15)</f>
        <v>11.757550765359257</v>
      </c>
      <c r="Y8" s="42" t="str">
        <f>IF(X8="","","bis")</f>
        <v>bis</v>
      </c>
      <c r="Z8" s="18">
        <f>(((SQRT($W8)*$B$3)/SQRT(3))*60000)/($B$12*$B$15)</f>
        <v>20.364675298172568</v>
      </c>
      <c r="AA8" s="133">
        <f>_2087f</f>
        <v>2</v>
      </c>
      <c r="AB8" s="42" t="str">
        <f>IF(AA8="","","bis")</f>
        <v>bis</v>
      </c>
      <c r="AC8" s="134">
        <f>_2087g</f>
        <v>8</v>
      </c>
    </row>
    <row r="9" spans="1:29" ht="18" thickBot="1" x14ac:dyDescent="0.35">
      <c r="A9" s="21">
        <v>9</v>
      </c>
      <c r="B9" s="17">
        <f>(((SQRT(B5)*$B$3)/SQRT(3))*$C$15)/$A9</f>
        <v>184.75208614068026</v>
      </c>
      <c r="C9" s="17">
        <f>(((SQRT(C5)*$B$3)/SQRT(3))*$C$15)/$A9</f>
        <v>369.50417228136052</v>
      </c>
      <c r="D9" s="17">
        <f>(((SQRT(D5)*$B$3)/SQRT(3))*$C$15)/$A9</f>
        <v>522.55781179374469</v>
      </c>
      <c r="E9" s="105"/>
      <c r="F9" s="106"/>
      <c r="G9" s="106"/>
      <c r="H9" s="106"/>
      <c r="I9" s="132"/>
      <c r="J9" s="42" t="str">
        <f>IF(I9="","","bis")</f>
        <v/>
      </c>
      <c r="K9" s="18"/>
      <c r="L9" s="20">
        <f>(((SQRT($I9)*$B$3)/SQRT(3))*60000)/($B$12*$B$15)</f>
        <v>0</v>
      </c>
      <c r="M9" s="42" t="str">
        <f>IF(L9="","","bis")</f>
        <v>bis</v>
      </c>
      <c r="N9" s="18">
        <f>(((SQRT($K9)*$B$3)/SQRT(3))*60000)/($B$12*$B$15)</f>
        <v>0</v>
      </c>
      <c r="O9" s="20"/>
      <c r="P9" s="42" t="str">
        <f>IF(O9="","","bis")</f>
        <v/>
      </c>
      <c r="Q9" s="18"/>
      <c r="R9" s="20">
        <f>(((SQRT($O9)*$B$3)/SQRT(3))*60000)/($B$12*$B$15)</f>
        <v>0</v>
      </c>
      <c r="S9" s="42" t="str">
        <f>IF(R9="","","bis")</f>
        <v>bis</v>
      </c>
      <c r="T9" s="18">
        <f>(((SQRT($Q9)*$B$3)/SQRT(3))*60000)/($B$12*$B$15)</f>
        <v>0</v>
      </c>
      <c r="U9" s="20"/>
      <c r="V9" s="42" t="str">
        <f>IF(U9="","","bis")</f>
        <v/>
      </c>
      <c r="W9" s="19"/>
      <c r="X9" s="20">
        <f>(((SQRT($U9)*$B$3)/SQRT(3))*60000)/($B$12*$B$15)</f>
        <v>0</v>
      </c>
      <c r="Y9" s="42" t="str">
        <f>IF(X9="","","bis")</f>
        <v>bis</v>
      </c>
      <c r="Z9" s="18">
        <f>(((SQRT($W9)*$B$3)/SQRT(3))*60000)/($B$12*$B$15)</f>
        <v>0</v>
      </c>
      <c r="AA9" s="133"/>
      <c r="AB9" s="42" t="str">
        <f>IF(AA9="","","bis")</f>
        <v/>
      </c>
      <c r="AC9" s="134"/>
    </row>
    <row r="10" spans="1:29" ht="18" thickBot="1" x14ac:dyDescent="0.35">
      <c r="A10" s="22">
        <v>10</v>
      </c>
      <c r="B10" s="27">
        <f>(((SQRT(B5)*$B$3)/SQRT(3))*$C$15)/$A10</f>
        <v>166.27687752661222</v>
      </c>
      <c r="C10" s="27">
        <f>(((SQRT(C5)*$B$3)/SQRT(3))*$C$15)/$A10</f>
        <v>332.55375505322445</v>
      </c>
      <c r="D10" s="27">
        <f>(((SQRT(D5)*$B$3)/SQRT(3))*$C$15)/$A10</f>
        <v>470.30203061437021</v>
      </c>
      <c r="E10" s="105"/>
      <c r="F10" s="106"/>
      <c r="G10" s="106"/>
      <c r="H10" s="106"/>
      <c r="I10" s="132"/>
      <c r="J10" s="42" t="str">
        <f>IF(I10="","","bis")</f>
        <v/>
      </c>
      <c r="K10" s="18"/>
      <c r="L10" s="20">
        <f>(((SQRT($I10)*$B$3)/SQRT(3))*60000)/($B$12*$B$15)</f>
        <v>0</v>
      </c>
      <c r="M10" s="42" t="str">
        <f>IF(L10="","","bis")</f>
        <v>bis</v>
      </c>
      <c r="N10" s="18">
        <f>(((SQRT($K10)*$B$3)/SQRT(3))*60000)/($B$12*$B$15)</f>
        <v>0</v>
      </c>
      <c r="O10" s="20"/>
      <c r="P10" s="42" t="str">
        <f>IF(O10="","","bis")</f>
        <v/>
      </c>
      <c r="Q10" s="18"/>
      <c r="R10" s="20">
        <f>(((SQRT($O10)*$B$3)/SQRT(3))*60000)/($B$12*$B$15)</f>
        <v>0</v>
      </c>
      <c r="S10" s="42" t="str">
        <f>IF(R10="","","bis")</f>
        <v>bis</v>
      </c>
      <c r="T10" s="18">
        <f>(((SQRT($Q10)*$B$3)/SQRT(3))*60000)/($B$12*$B$15)</f>
        <v>0</v>
      </c>
      <c r="U10" s="20"/>
      <c r="V10" s="42" t="str">
        <f>IF(U10="","","bis")</f>
        <v/>
      </c>
      <c r="W10" s="18"/>
      <c r="X10" s="20">
        <f>(((SQRT($U10)*$B$3)/SQRT(3))*60000)/($B$12*$B$15)</f>
        <v>0</v>
      </c>
      <c r="Y10" s="42" t="str">
        <f>IF(X10="","","bis")</f>
        <v>bis</v>
      </c>
      <c r="Z10" s="18">
        <f>(((SQRT($W10)*$B$3)/SQRT(3))*60000)/($B$12*$B$15)</f>
        <v>0</v>
      </c>
      <c r="AA10" s="133"/>
      <c r="AB10" s="42" t="str">
        <f>IF(AA10="","","bis")</f>
        <v/>
      </c>
      <c r="AC10" s="134"/>
    </row>
    <row r="11" spans="1:29" ht="18" thickBot="1" x14ac:dyDescent="0.35">
      <c r="J11" s="2"/>
    </row>
    <row r="12" spans="1:29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9" ht="18" thickBot="1" x14ac:dyDescent="0.35">
      <c r="A13" s="23" t="s">
        <v>57</v>
      </c>
      <c r="B13" s="25">
        <f>POWER(((SQRT(3)*$C$13)/$B$3),2)</f>
        <v>0.36168981481481477</v>
      </c>
      <c r="C13" s="26">
        <f>(B12*B14*B15)/60000</f>
        <v>0.83333333333333337</v>
      </c>
      <c r="D13" s="25">
        <f>POWER(((SQRT(3)*$E$13)/$B$3),2)</f>
        <v>4.1811342592592595</v>
      </c>
      <c r="E13" s="26">
        <f>(D12*D14*D15)/60000</f>
        <v>2.8333333333333335</v>
      </c>
    </row>
    <row r="14" spans="1:29" ht="18" thickBot="1" x14ac:dyDescent="0.35">
      <c r="A14" s="23" t="s">
        <v>58</v>
      </c>
      <c r="B14" s="9">
        <v>5</v>
      </c>
      <c r="D14" s="168">
        <f>Tabelle1!A4</f>
        <v>17</v>
      </c>
    </row>
    <row r="15" spans="1:29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  <row r="17" spans="6:29" ht="18" thickBot="1" x14ac:dyDescent="0.35"/>
    <row r="18" spans="6:29" ht="18" thickBot="1" x14ac:dyDescent="0.35">
      <c r="G18" s="110" t="str">
        <f>"06"</f>
        <v>06</v>
      </c>
      <c r="H18" s="109" t="str">
        <f>"05"</f>
        <v>05</v>
      </c>
      <c r="I18" s="381">
        <v>50</v>
      </c>
      <c r="J18" s="382"/>
      <c r="K18" s="382"/>
      <c r="L18" s="382"/>
      <c r="M18" s="382"/>
      <c r="N18" s="399"/>
      <c r="O18" s="383">
        <v>75</v>
      </c>
      <c r="P18" s="383"/>
      <c r="Q18" s="383"/>
      <c r="R18" s="383"/>
      <c r="S18" s="383"/>
      <c r="T18" s="400"/>
      <c r="U18" s="384">
        <v>90</v>
      </c>
      <c r="V18" s="385"/>
      <c r="W18" s="385"/>
      <c r="X18" s="385"/>
      <c r="Y18" s="385"/>
      <c r="Z18" s="401"/>
      <c r="AA18" s="391" t="s">
        <v>53</v>
      </c>
      <c r="AB18" s="392"/>
      <c r="AC18" s="393"/>
    </row>
    <row r="19" spans="6:29" ht="18" thickBot="1" x14ac:dyDescent="0.35">
      <c r="F19" s="13" t="s">
        <v>9</v>
      </c>
      <c r="G19" s="13" t="s">
        <v>200</v>
      </c>
      <c r="H19" s="13" t="s">
        <v>198</v>
      </c>
      <c r="I19" s="402" t="s">
        <v>14</v>
      </c>
      <c r="J19" s="403"/>
      <c r="K19" s="404"/>
      <c r="L19" s="381" t="s">
        <v>55</v>
      </c>
      <c r="M19" s="382"/>
      <c r="N19" s="399"/>
      <c r="O19" s="405" t="s">
        <v>14</v>
      </c>
      <c r="P19" s="383"/>
      <c r="Q19" s="400"/>
      <c r="R19" s="405" t="s">
        <v>55</v>
      </c>
      <c r="S19" s="383"/>
      <c r="T19" s="400"/>
      <c r="U19" s="384" t="s">
        <v>14</v>
      </c>
      <c r="V19" s="385"/>
      <c r="W19" s="401"/>
      <c r="X19" s="388" t="s">
        <v>55</v>
      </c>
      <c r="Y19" s="389"/>
      <c r="Z19" s="390"/>
      <c r="AA19" s="394"/>
      <c r="AB19" s="395"/>
      <c r="AC19" s="396"/>
    </row>
    <row r="20" spans="6:29" ht="18" thickBot="1" x14ac:dyDescent="0.35">
      <c r="F20" s="106"/>
      <c r="G20" s="106"/>
      <c r="H20" s="106"/>
      <c r="I20" s="132"/>
      <c r="J20" s="42" t="str">
        <f>IF(I20="","","bis")</f>
        <v/>
      </c>
      <c r="K20" s="19"/>
      <c r="L20" s="20">
        <f>(((SQRT($I20)*$B$3)/SQRT(3))*60000)/($B$12*$B$15)</f>
        <v>0</v>
      </c>
      <c r="M20" s="42" t="str">
        <f>IF(L20="","","bis")</f>
        <v>bis</v>
      </c>
      <c r="N20" s="18">
        <f>(((SQRT($K20)*$B$3)/SQRT(3))*60000)/($B$12*$B$15)</f>
        <v>0</v>
      </c>
      <c r="O20" s="19"/>
      <c r="P20" s="42" t="str">
        <f>IF(O20="","","bis")</f>
        <v/>
      </c>
      <c r="Q20" s="18"/>
      <c r="R20" s="20">
        <f>(((SQRT($O20)*$B$3)/SQRT(3))*60000)/($B$12*$B$15)</f>
        <v>0</v>
      </c>
      <c r="S20" s="42" t="str">
        <f>IF(R20="","","bis")</f>
        <v>bis</v>
      </c>
      <c r="T20" s="18">
        <f>(((SQRT($Q20)*$B$3)/SQRT(3))*60000)/($B$12*$B$15)</f>
        <v>0</v>
      </c>
      <c r="U20" s="20"/>
      <c r="V20" s="42" t="str">
        <f>IF(U20="","","bis")</f>
        <v/>
      </c>
      <c r="W20" s="19"/>
      <c r="X20" s="20">
        <f>(((SQRT($U20)*$B$3)/SQRT(3))*60000)/($B$12*$B$15)</f>
        <v>0</v>
      </c>
      <c r="Y20" s="42" t="str">
        <f>IF(X20="","","bis")</f>
        <v>bis</v>
      </c>
      <c r="Z20" s="19">
        <f>(((SQRT($W20)*$B$3)/SQRT(3))*60000)/($B$12*$B$15)</f>
        <v>0</v>
      </c>
      <c r="AA20" s="133"/>
      <c r="AB20" s="42" t="str">
        <f>IF(AA20="","","bis")</f>
        <v/>
      </c>
      <c r="AC20" s="134"/>
    </row>
    <row r="21" spans="6:29" ht="18" thickBot="1" x14ac:dyDescent="0.35">
      <c r="F21" s="106"/>
      <c r="G21" s="106"/>
      <c r="H21" s="106"/>
      <c r="I21" s="132"/>
      <c r="J21" s="42" t="str">
        <f>IF(I21="","","bis")</f>
        <v/>
      </c>
      <c r="K21" s="18"/>
      <c r="L21" s="20">
        <f>(((SQRT($I21)*$B$3)/SQRT(3))*60000)/($B$12*$B$15)</f>
        <v>0</v>
      </c>
      <c r="M21" s="42" t="str">
        <f>IF(L21="","","bis")</f>
        <v>bis</v>
      </c>
      <c r="N21" s="18">
        <f>(((SQRT($K21)*$B$3)/SQRT(3))*60000)/($B$12*$B$15)</f>
        <v>0</v>
      </c>
      <c r="O21" s="20"/>
      <c r="P21" s="42" t="str">
        <f>IF(O21="","","bis")</f>
        <v/>
      </c>
      <c r="Q21" s="18"/>
      <c r="R21" s="20">
        <f>(((SQRT($O21)*$B$3)/SQRT(3))*60000)/($B$12*$B$15)</f>
        <v>0</v>
      </c>
      <c r="S21" s="42" t="str">
        <f>IF(R21="","","bis")</f>
        <v>bis</v>
      </c>
      <c r="T21" s="18">
        <f>(((SQRT($Q21)*$B$3)/SQRT(3))*60000)/($B$12*$B$15)</f>
        <v>0</v>
      </c>
      <c r="U21" s="20"/>
      <c r="V21" s="42" t="str">
        <f>IF(U21="","","bis")</f>
        <v/>
      </c>
      <c r="W21" s="18"/>
      <c r="X21" s="20">
        <f>(((SQRT($U21)*$B$3)/SQRT(3))*60000)/($B$12*$B$15)</f>
        <v>0</v>
      </c>
      <c r="Y21" s="42" t="str">
        <f>IF(X21="","","bis")</f>
        <v>bis</v>
      </c>
      <c r="Z21" s="18">
        <f>(((SQRT($W21)*$B$3)/SQRT(3))*60000)/($B$12*$B$15)</f>
        <v>0</v>
      </c>
      <c r="AA21" s="133"/>
      <c r="AB21" s="42" t="str">
        <f>IF(AA21="","","bis")</f>
        <v/>
      </c>
      <c r="AC21" s="134"/>
    </row>
    <row r="22" spans="6:29" ht="18" thickBot="1" x14ac:dyDescent="0.35">
      <c r="F22" s="106"/>
      <c r="G22" s="106"/>
      <c r="H22" s="106"/>
      <c r="I22" s="132"/>
      <c r="J22" s="42" t="str">
        <f>IF(I22="","","bis")</f>
        <v/>
      </c>
      <c r="K22" s="18"/>
      <c r="L22" s="20">
        <f>(((SQRT($I22)*$B$3)/SQRT(3))*60000)/($B$12*$B$15)</f>
        <v>0</v>
      </c>
      <c r="M22" s="42" t="str">
        <f>IF(L22="","","bis")</f>
        <v>bis</v>
      </c>
      <c r="N22" s="18">
        <f>(((SQRT($K22)*$B$3)/SQRT(3))*60000)/($B$12*$B$15)</f>
        <v>0</v>
      </c>
      <c r="O22" s="20"/>
      <c r="P22" s="42" t="str">
        <f>IF(O22="","","bis")</f>
        <v/>
      </c>
      <c r="Q22" s="18"/>
      <c r="R22" s="20">
        <f>(((SQRT($O22)*$B$3)/SQRT(3))*60000)/($B$12*$B$15)</f>
        <v>0</v>
      </c>
      <c r="S22" s="42" t="str">
        <f>IF(R22="","","bis")</f>
        <v>bis</v>
      </c>
      <c r="T22" s="18">
        <f>(((SQRT($Q22)*$B$3)/SQRT(3))*60000)/($B$12*$B$15)</f>
        <v>0</v>
      </c>
      <c r="U22" s="20"/>
      <c r="V22" s="42" t="str">
        <f>IF(U22="","","bis")</f>
        <v/>
      </c>
      <c r="W22" s="18"/>
      <c r="X22" s="20">
        <f>(((SQRT($U22)*$B$3)/SQRT(3))*60000)/($B$12*$B$15)</f>
        <v>0</v>
      </c>
      <c r="Y22" s="42" t="str">
        <f>IF(X22="","","bis")</f>
        <v>bis</v>
      </c>
      <c r="Z22" s="18">
        <f>(((SQRT($W22)*$B$3)/SQRT(3))*60000)/($B$12*$B$15)</f>
        <v>0</v>
      </c>
      <c r="AA22" s="133"/>
      <c r="AB22" s="42" t="str">
        <f>IF(AA22="","","bis")</f>
        <v/>
      </c>
      <c r="AC22" s="134"/>
    </row>
    <row r="23" spans="6:29" ht="18" thickBot="1" x14ac:dyDescent="0.35">
      <c r="F23" s="106"/>
      <c r="G23" s="106"/>
      <c r="H23" s="106"/>
      <c r="I23" s="132"/>
      <c r="J23" s="42" t="str">
        <f>IF(I23="","","bis")</f>
        <v/>
      </c>
      <c r="K23" s="18"/>
      <c r="L23" s="20">
        <f>(((SQRT($I23)*$B$3)/SQRT(3))*60000)/($B$12*$B$15)</f>
        <v>0</v>
      </c>
      <c r="M23" s="42" t="str">
        <f>IF(L23="","","bis")</f>
        <v>bis</v>
      </c>
      <c r="N23" s="18">
        <f>(((SQRT($K23)*$B$3)/SQRT(3))*60000)/($B$12*$B$15)</f>
        <v>0</v>
      </c>
      <c r="O23" s="20"/>
      <c r="P23" s="42" t="str">
        <f>IF(O23="","","bis")</f>
        <v/>
      </c>
      <c r="Q23" s="18"/>
      <c r="R23" s="20">
        <f>(((SQRT($O23)*$B$3)/SQRT(3))*60000)/($B$12*$B$15)</f>
        <v>0</v>
      </c>
      <c r="S23" s="42" t="str">
        <f>IF(R23="","","bis")</f>
        <v>bis</v>
      </c>
      <c r="T23" s="18">
        <f>(((SQRT($Q23)*$B$3)/SQRT(3))*60000)/($B$12*$B$15)</f>
        <v>0</v>
      </c>
      <c r="U23" s="20"/>
      <c r="V23" s="42" t="str">
        <f>IF(U23="","","bis")</f>
        <v/>
      </c>
      <c r="W23" s="19"/>
      <c r="X23" s="20">
        <f>(((SQRT($U23)*$B$3)/SQRT(3))*60000)/($B$12*$B$15)</f>
        <v>0</v>
      </c>
      <c r="Y23" s="42" t="str">
        <f>IF(X23="","","bis")</f>
        <v>bis</v>
      </c>
      <c r="Z23" s="18">
        <f>(((SQRT($W23)*$B$3)/SQRT(3))*60000)/($B$12*$B$15)</f>
        <v>0</v>
      </c>
      <c r="AA23" s="133"/>
      <c r="AB23" s="42" t="str">
        <f>IF(AA23="","","bis")</f>
        <v/>
      </c>
      <c r="AC23" s="134"/>
    </row>
    <row r="24" spans="6:29" ht="18" thickBot="1" x14ac:dyDescent="0.35">
      <c r="F24" s="106"/>
      <c r="G24" s="106"/>
      <c r="H24" s="106"/>
      <c r="I24" s="132"/>
      <c r="J24" s="42" t="str">
        <f>IF(I24="","","bis")</f>
        <v/>
      </c>
      <c r="K24" s="18"/>
      <c r="L24" s="20">
        <f>(((SQRT($I24)*$B$3)/SQRT(3))*60000)/($B$12*$B$15)</f>
        <v>0</v>
      </c>
      <c r="M24" s="42" t="str">
        <f>IF(L24="","","bis")</f>
        <v>bis</v>
      </c>
      <c r="N24" s="18">
        <f>(((SQRT($K24)*$B$3)/SQRT(3))*60000)/($B$12*$B$15)</f>
        <v>0</v>
      </c>
      <c r="O24" s="20"/>
      <c r="P24" s="42" t="str">
        <f>IF(O24="","","bis")</f>
        <v/>
      </c>
      <c r="Q24" s="18"/>
      <c r="R24" s="20">
        <f>(((SQRT($O24)*$B$3)/SQRT(3))*60000)/($B$12*$B$15)</f>
        <v>0</v>
      </c>
      <c r="S24" s="42" t="str">
        <f>IF(R24="","","bis")</f>
        <v>bis</v>
      </c>
      <c r="T24" s="18">
        <f>(((SQRT($Q24)*$B$3)/SQRT(3))*60000)/($B$12*$B$15)</f>
        <v>0</v>
      </c>
      <c r="U24" s="20"/>
      <c r="V24" s="42" t="str">
        <f>IF(U24="","","bis")</f>
        <v/>
      </c>
      <c r="W24" s="18"/>
      <c r="X24" s="20">
        <f>(((SQRT($U24)*$B$3)/SQRT(3))*60000)/($B$12*$B$15)</f>
        <v>0</v>
      </c>
      <c r="Y24" s="42" t="str">
        <f>IF(X24="","","bis")</f>
        <v>bis</v>
      </c>
      <c r="Z24" s="18">
        <f>(((SQRT($W24)*$B$3)/SQRT(3))*60000)/($B$12*$B$15)</f>
        <v>0</v>
      </c>
      <c r="AA24" s="133"/>
      <c r="AB24" s="42" t="str">
        <f>IF(AA24="","","bis")</f>
        <v/>
      </c>
      <c r="AC24" s="134"/>
    </row>
  </sheetData>
  <sheetProtection algorithmName="SHA-512" hashValue="/TcvsJHb18hBUjHVT2XbwrHaCgDk3yxtDRY8AptlIVt9AzO/wjDxXygNAn4e4fNdOEXWK80bVEXxtfyyYs2wcg==" saltValue="i6/mGBFThn2vQxBt9ZpeOg==" spinCount="100000" sheet="1" objects="1" scenarios="1"/>
  <mergeCells count="21">
    <mergeCell ref="B3:D3"/>
    <mergeCell ref="I4:N4"/>
    <mergeCell ref="O4:T4"/>
    <mergeCell ref="U4:Z4"/>
    <mergeCell ref="AA4:AC5"/>
    <mergeCell ref="I5:K5"/>
    <mergeCell ref="L5:N5"/>
    <mergeCell ref="O5:Q5"/>
    <mergeCell ref="R5:T5"/>
    <mergeCell ref="U5:W5"/>
    <mergeCell ref="X5:Z5"/>
    <mergeCell ref="AA18:AC19"/>
    <mergeCell ref="I19:K19"/>
    <mergeCell ref="L19:N19"/>
    <mergeCell ref="O19:Q19"/>
    <mergeCell ref="R19:T19"/>
    <mergeCell ref="U19:W19"/>
    <mergeCell ref="X19:Z19"/>
    <mergeCell ref="I18:N18"/>
    <mergeCell ref="O18:T18"/>
    <mergeCell ref="U18:Z18"/>
  </mergeCells>
  <conditionalFormatting sqref="B9 E6:E10">
    <cfRule type="cellIs" dxfId="36" priority="8" operator="greaterThan">
      <formula>$B$12</formula>
    </cfRule>
  </conditionalFormatting>
  <conditionalFormatting sqref="C6">
    <cfRule type="cellIs" dxfId="35" priority="14" operator="greaterThan">
      <formula>$B$12</formula>
    </cfRule>
  </conditionalFormatting>
  <conditionalFormatting sqref="B6">
    <cfRule type="cellIs" dxfId="34" priority="15" operator="greaterThan">
      <formula>$B$12</formula>
    </cfRule>
  </conditionalFormatting>
  <conditionalFormatting sqref="B7">
    <cfRule type="cellIs" dxfId="33" priority="12" operator="greaterThan">
      <formula>$B$12</formula>
    </cfRule>
  </conditionalFormatting>
  <conditionalFormatting sqref="D10">
    <cfRule type="cellIs" dxfId="32" priority="1" operator="greaterThan">
      <formula>$B$12</formula>
    </cfRule>
  </conditionalFormatting>
  <conditionalFormatting sqref="D6">
    <cfRule type="cellIs" dxfId="31" priority="13" operator="greaterThan">
      <formula>$B$12</formula>
    </cfRule>
  </conditionalFormatting>
  <conditionalFormatting sqref="C7">
    <cfRule type="cellIs" dxfId="30" priority="11" operator="greaterThan">
      <formula>$B$12</formula>
    </cfRule>
  </conditionalFormatting>
  <conditionalFormatting sqref="D7">
    <cfRule type="cellIs" dxfId="29" priority="10" operator="greaterThan">
      <formula>$B$12</formula>
    </cfRule>
  </conditionalFormatting>
  <conditionalFormatting sqref="B8">
    <cfRule type="cellIs" dxfId="28" priority="9" operator="greaterThan">
      <formula>$B$12</formula>
    </cfRule>
  </conditionalFormatting>
  <conditionalFormatting sqref="B10">
    <cfRule type="cellIs" dxfId="27" priority="7" operator="greaterThan">
      <formula>$B$12</formula>
    </cfRule>
  </conditionalFormatting>
  <conditionalFormatting sqref="C8">
    <cfRule type="cellIs" dxfId="26" priority="6" operator="greaterThan">
      <formula>$B$12</formula>
    </cfRule>
  </conditionalFormatting>
  <conditionalFormatting sqref="D8">
    <cfRule type="cellIs" dxfId="25" priority="5" operator="greaterThan">
      <formula>$B$12</formula>
    </cfRule>
  </conditionalFormatting>
  <conditionalFormatting sqref="C9">
    <cfRule type="cellIs" dxfId="24" priority="4" operator="greaterThan">
      <formula>$B$12</formula>
    </cfRule>
  </conditionalFormatting>
  <conditionalFormatting sqref="D9">
    <cfRule type="cellIs" dxfId="23" priority="3" operator="greaterThan">
      <formula>$B$12</formula>
    </cfRule>
  </conditionalFormatting>
  <conditionalFormatting sqref="C10">
    <cfRule type="cellIs" dxfId="22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5.33203125" style="11" bestFit="1" customWidth="1"/>
    <col min="8" max="8" width="21.5546875" style="11" bestFit="1" customWidth="1"/>
    <col min="9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9" x14ac:dyDescent="0.3">
      <c r="A1" s="10"/>
    </row>
    <row r="2" spans="1:29" ht="18" thickBot="1" x14ac:dyDescent="0.35"/>
    <row r="3" spans="1:29" ht="18" thickBot="1" x14ac:dyDescent="0.35">
      <c r="A3" s="37" t="s">
        <v>220</v>
      </c>
      <c r="B3" s="436">
        <v>2.4</v>
      </c>
      <c r="C3" s="436"/>
      <c r="D3" s="437"/>
    </row>
    <row r="4" spans="1:29" ht="18" thickBot="1" x14ac:dyDescent="0.35">
      <c r="G4" s="183" t="s">
        <v>171</v>
      </c>
      <c r="H4" s="183" t="s">
        <v>171</v>
      </c>
      <c r="I4" s="381">
        <v>50</v>
      </c>
      <c r="J4" s="382"/>
      <c r="K4" s="382"/>
      <c r="L4" s="382"/>
      <c r="M4" s="382"/>
      <c r="N4" s="399"/>
      <c r="O4" s="383">
        <v>75</v>
      </c>
      <c r="P4" s="383"/>
      <c r="Q4" s="383"/>
      <c r="R4" s="383"/>
      <c r="S4" s="383"/>
      <c r="T4" s="400"/>
      <c r="U4" s="384">
        <v>90</v>
      </c>
      <c r="V4" s="385"/>
      <c r="W4" s="385"/>
      <c r="X4" s="385"/>
      <c r="Y4" s="385"/>
      <c r="Z4" s="401"/>
      <c r="AA4" s="391" t="s">
        <v>53</v>
      </c>
      <c r="AB4" s="392"/>
      <c r="AC4" s="393"/>
    </row>
    <row r="5" spans="1:29" ht="18" thickBot="1" x14ac:dyDescent="0.35">
      <c r="A5" s="13" t="s">
        <v>52</v>
      </c>
      <c r="B5" s="14">
        <v>1</v>
      </c>
      <c r="C5" s="15">
        <v>4</v>
      </c>
      <c r="D5" s="15">
        <v>8</v>
      </c>
      <c r="F5" s="13" t="s">
        <v>9</v>
      </c>
      <c r="G5" s="13" t="s">
        <v>200</v>
      </c>
      <c r="H5" s="13" t="s">
        <v>223</v>
      </c>
      <c r="I5" s="402" t="s">
        <v>14</v>
      </c>
      <c r="J5" s="403"/>
      <c r="K5" s="404"/>
      <c r="L5" s="381" t="s">
        <v>55</v>
      </c>
      <c r="M5" s="382"/>
      <c r="N5" s="399"/>
      <c r="O5" s="405" t="s">
        <v>14</v>
      </c>
      <c r="P5" s="383"/>
      <c r="Q5" s="400"/>
      <c r="R5" s="405" t="s">
        <v>55</v>
      </c>
      <c r="S5" s="383"/>
      <c r="T5" s="400"/>
      <c r="U5" s="384" t="s">
        <v>14</v>
      </c>
      <c r="V5" s="385"/>
      <c r="W5" s="401"/>
      <c r="X5" s="388" t="s">
        <v>55</v>
      </c>
      <c r="Y5" s="389"/>
      <c r="Z5" s="390"/>
      <c r="AA5" s="394"/>
      <c r="AB5" s="395"/>
      <c r="AC5" s="396"/>
    </row>
    <row r="6" spans="1:29" ht="18" thickBot="1" x14ac:dyDescent="0.35">
      <c r="A6" s="16">
        <v>6</v>
      </c>
      <c r="B6" s="17">
        <f>(((SQRT(B5)*$B$3)/SQRT(3))*$C$15)/$A6</f>
        <v>277.12812921102039</v>
      </c>
      <c r="C6" s="17">
        <f>(((SQRT(C5)*$B$3)/SQRT(3))*$C$15)/$A6</f>
        <v>554.25625842204079</v>
      </c>
      <c r="D6" s="17">
        <f>(((SQRT(D5)*$B$3)/SQRT(3))*$C$15)/$A6</f>
        <v>783.83671769061709</v>
      </c>
      <c r="F6" s="106" t="str">
        <f>_1937b</f>
        <v>Lechler</v>
      </c>
      <c r="G6" s="106" t="str">
        <f>_1937c</f>
        <v>IDKT 120 06</v>
      </c>
      <c r="H6" s="106" t="str">
        <f>_1937t</f>
        <v>IDK 120 06</v>
      </c>
      <c r="I6" s="132">
        <f>_1937h</f>
        <v>1</v>
      </c>
      <c r="J6" s="42" t="str">
        <f>IF(I6="","","bis")</f>
        <v>bis</v>
      </c>
      <c r="K6" s="19">
        <f>_1937i</f>
        <v>6</v>
      </c>
      <c r="L6" s="20">
        <f>(((SQRT($I6)*$B$3)/SQRT(3))*60000)/($B$12*$B$15)</f>
        <v>8.3138438763306119</v>
      </c>
      <c r="M6" s="42" t="str">
        <f>IF(L6="","","bis")</f>
        <v>bis</v>
      </c>
      <c r="N6" s="18">
        <f>(((SQRT($K6)*$B$3)/SQRT(3))*60000)/($B$12*$B$15)</f>
        <v>20.364675298172568</v>
      </c>
      <c r="O6" s="19">
        <f>_1937j</f>
        <v>1</v>
      </c>
      <c r="P6" s="42" t="str">
        <f>IF(O6="","","bis")</f>
        <v>bis</v>
      </c>
      <c r="Q6" s="18">
        <f>_1937k</f>
        <v>2</v>
      </c>
      <c r="R6" s="20">
        <f>(((SQRT($O6)*$B$3)/SQRT(3))*60000)/($B$12*$B$15)</f>
        <v>8.3138438763306119</v>
      </c>
      <c r="S6" s="42" t="str">
        <f>IF(R6="","","bis")</f>
        <v>bis</v>
      </c>
      <c r="T6" s="18">
        <f>(((SQRT($Q6)*$B$3)/SQRT(3))*60000)/($B$12*$B$15)</f>
        <v>11.757550765359257</v>
      </c>
      <c r="U6" s="20">
        <f>_1937l</f>
        <v>1</v>
      </c>
      <c r="V6" s="42" t="str">
        <f>IF(U6="","","bis")</f>
        <v>bis</v>
      </c>
      <c r="W6" s="19">
        <f>_1937m</f>
        <v>1</v>
      </c>
      <c r="X6" s="20">
        <f>(((SQRT($U6)*$B$3)/SQRT(3))*60000)/($B$12*$B$15)</f>
        <v>8.3138438763306119</v>
      </c>
      <c r="Y6" s="42" t="str">
        <f>IF(X6="","","bis")</f>
        <v>bis</v>
      </c>
      <c r="Z6" s="19">
        <f>(((SQRT($W6)*$B$3)/SQRT(3))*60000)/($B$12*$B$15)</f>
        <v>8.3138438763306119</v>
      </c>
      <c r="AA6" s="133">
        <f>_1937f</f>
        <v>1</v>
      </c>
      <c r="AB6" s="42" t="str">
        <f>IF(AA6="","","bis")</f>
        <v>bis</v>
      </c>
      <c r="AC6" s="134">
        <f>_1937g</f>
        <v>6</v>
      </c>
    </row>
    <row r="7" spans="1:29" ht="18" thickBot="1" x14ac:dyDescent="0.35">
      <c r="A7" s="21">
        <v>7</v>
      </c>
      <c r="B7" s="17">
        <f>(((SQRT(B5)*$B$3)/SQRT(3))*$C$15)/$A7</f>
        <v>237.53839646658889</v>
      </c>
      <c r="C7" s="17">
        <f>(((SQRT(C5)*$B$3)/SQRT(3))*$C$15)/$A7</f>
        <v>475.07679293317779</v>
      </c>
      <c r="D7" s="17">
        <f>(((SQRT(D5)*$B$3)/SQRT(3))*$C$15)/$A7</f>
        <v>671.86004373481467</v>
      </c>
      <c r="F7" s="106"/>
      <c r="G7" s="106"/>
      <c r="H7" s="106"/>
      <c r="I7" s="132"/>
      <c r="J7" s="42" t="str">
        <f>IF(I7="","","bis")</f>
        <v/>
      </c>
      <c r="K7" s="18"/>
      <c r="L7" s="20">
        <f>(((SQRT($I7)*$B$3)/SQRT(3))*60000)/($B$12*$B$15)</f>
        <v>0</v>
      </c>
      <c r="M7" s="42" t="str">
        <f>IF(L7="","","bis")</f>
        <v>bis</v>
      </c>
      <c r="N7" s="18">
        <f>(((SQRT($K7)*$B$3)/SQRT(3))*60000)/($B$12*$B$15)</f>
        <v>0</v>
      </c>
      <c r="O7" s="20"/>
      <c r="P7" s="42" t="str">
        <f>IF(O7="","","bis")</f>
        <v/>
      </c>
      <c r="Q7" s="18"/>
      <c r="R7" s="20">
        <f>(((SQRT($O7)*$B$3)/SQRT(3))*60000)/($B$12*$B$15)</f>
        <v>0</v>
      </c>
      <c r="S7" s="42" t="str">
        <f>IF(R7="","","bis")</f>
        <v>bis</v>
      </c>
      <c r="T7" s="18">
        <f>(((SQRT($Q7)*$B$3)/SQRT(3))*60000)/($B$12*$B$15)</f>
        <v>0</v>
      </c>
      <c r="U7" s="20"/>
      <c r="V7" s="42" t="str">
        <f>IF(U7="","","bis")</f>
        <v/>
      </c>
      <c r="W7" s="18"/>
      <c r="X7" s="20">
        <f>(((SQRT($U7)*$B$3)/SQRT(3))*60000)/($B$12*$B$15)</f>
        <v>0</v>
      </c>
      <c r="Y7" s="42" t="str">
        <f>IF(X7="","","bis")</f>
        <v>bis</v>
      </c>
      <c r="Z7" s="18">
        <f>(((SQRT($W7)*$B$3)/SQRT(3))*60000)/($B$12*$B$15)</f>
        <v>0</v>
      </c>
      <c r="AA7" s="133"/>
      <c r="AB7" s="42" t="str">
        <f>IF(AA7="","","bis")</f>
        <v/>
      </c>
      <c r="AC7" s="134"/>
    </row>
    <row r="8" spans="1:29" ht="18" thickBot="1" x14ac:dyDescent="0.35">
      <c r="A8" s="21">
        <v>8</v>
      </c>
      <c r="B8" s="17">
        <f>(((SQRT(B5)*$B$3)/SQRT(3))*$C$15)/$A8</f>
        <v>207.84609690826528</v>
      </c>
      <c r="C8" s="17">
        <f>(((SQRT(C5)*$B$3)/SQRT(3))*1200)/$A8</f>
        <v>415.69219381653056</v>
      </c>
      <c r="D8" s="17">
        <f>(((SQRT(D5)*$B$3)/SQRT(3))*1200)/$A8</f>
        <v>587.87753826796279</v>
      </c>
      <c r="F8" s="106"/>
      <c r="G8" s="106"/>
      <c r="H8" s="106"/>
      <c r="I8" s="132"/>
      <c r="J8" s="42" t="str">
        <f>IF(I8="","","bis")</f>
        <v/>
      </c>
      <c r="K8" s="18"/>
      <c r="L8" s="20">
        <f>(((SQRT($I8)*$B$3)/SQRT(3))*60000)/($B$12*$B$15)</f>
        <v>0</v>
      </c>
      <c r="M8" s="42" t="str">
        <f>IF(L8="","","bis")</f>
        <v>bis</v>
      </c>
      <c r="N8" s="18">
        <f>(((SQRT($K8)*$B$3)/SQRT(3))*60000)/($B$12*$B$15)</f>
        <v>0</v>
      </c>
      <c r="O8" s="20"/>
      <c r="P8" s="42" t="str">
        <f>IF(O8="","","bis")</f>
        <v/>
      </c>
      <c r="Q8" s="18"/>
      <c r="R8" s="20">
        <f>(((SQRT($O8)*$B$3)/SQRT(3))*60000)/($B$12*$B$15)</f>
        <v>0</v>
      </c>
      <c r="S8" s="42" t="str">
        <f>IF(R8="","","bis")</f>
        <v>bis</v>
      </c>
      <c r="T8" s="18">
        <f>(((SQRT($Q8)*$B$3)/SQRT(3))*60000)/($B$12*$B$15)</f>
        <v>0</v>
      </c>
      <c r="U8" s="20"/>
      <c r="V8" s="42" t="str">
        <f>IF(U8="","","bis")</f>
        <v/>
      </c>
      <c r="W8" s="18"/>
      <c r="X8" s="20">
        <f>(((SQRT($U8)*$B$3)/SQRT(3))*60000)/($B$12*$B$15)</f>
        <v>0</v>
      </c>
      <c r="Y8" s="42" t="str">
        <f>IF(X8="","","bis")</f>
        <v>bis</v>
      </c>
      <c r="Z8" s="18">
        <f>(((SQRT($W8)*$B$3)/SQRT(3))*60000)/($B$12*$B$15)</f>
        <v>0</v>
      </c>
      <c r="AA8" s="133"/>
      <c r="AB8" s="42" t="str">
        <f>IF(AA8="","","bis")</f>
        <v/>
      </c>
      <c r="AC8" s="134"/>
    </row>
    <row r="9" spans="1:29" ht="18" thickBot="1" x14ac:dyDescent="0.35">
      <c r="A9" s="21">
        <v>9</v>
      </c>
      <c r="B9" s="17">
        <f>(((SQRT(B5)*$B$3)/SQRT(3))*$C$15)/$A9</f>
        <v>184.75208614068026</v>
      </c>
      <c r="C9" s="17">
        <f>(((SQRT(C5)*$B$3)/SQRT(3))*$C$15)/$A9</f>
        <v>369.50417228136052</v>
      </c>
      <c r="D9" s="17">
        <f>(((SQRT(D5)*$B$3)/SQRT(3))*$C$15)/$A9</f>
        <v>522.55781179374469</v>
      </c>
      <c r="F9" s="106"/>
      <c r="G9" s="106"/>
      <c r="H9" s="106"/>
      <c r="I9" s="132"/>
      <c r="J9" s="42" t="str">
        <f>IF(I9="","","bis")</f>
        <v/>
      </c>
      <c r="K9" s="18"/>
      <c r="L9" s="20">
        <f>(((SQRT($I9)*$B$3)/SQRT(3))*60000)/($B$12*$B$15)</f>
        <v>0</v>
      </c>
      <c r="M9" s="42" t="str">
        <f>IF(L9="","","bis")</f>
        <v>bis</v>
      </c>
      <c r="N9" s="18">
        <f>(((SQRT($K9)*$B$3)/SQRT(3))*60000)/($B$12*$B$15)</f>
        <v>0</v>
      </c>
      <c r="O9" s="20"/>
      <c r="P9" s="42" t="str">
        <f>IF(O9="","","bis")</f>
        <v/>
      </c>
      <c r="Q9" s="18"/>
      <c r="R9" s="20">
        <f>(((SQRT($O9)*$B$3)/SQRT(3))*60000)/($B$12*$B$15)</f>
        <v>0</v>
      </c>
      <c r="S9" s="42" t="str">
        <f>IF(R9="","","bis")</f>
        <v>bis</v>
      </c>
      <c r="T9" s="18">
        <f>(((SQRT($Q9)*$B$3)/SQRT(3))*60000)/($B$12*$B$15)</f>
        <v>0</v>
      </c>
      <c r="U9" s="20"/>
      <c r="V9" s="42" t="str">
        <f>IF(U9="","","bis")</f>
        <v/>
      </c>
      <c r="W9" s="19"/>
      <c r="X9" s="20">
        <f>(((SQRT($U9)*$B$3)/SQRT(3))*60000)/($B$12*$B$15)</f>
        <v>0</v>
      </c>
      <c r="Y9" s="42" t="str">
        <f>IF(X9="","","bis")</f>
        <v>bis</v>
      </c>
      <c r="Z9" s="18">
        <f>(((SQRT($W9)*$B$3)/SQRT(3))*60000)/($B$12*$B$15)</f>
        <v>0</v>
      </c>
      <c r="AA9" s="133"/>
      <c r="AB9" s="42" t="str">
        <f>IF(AA9="","","bis")</f>
        <v/>
      </c>
      <c r="AC9" s="134"/>
    </row>
    <row r="10" spans="1:29" ht="18" thickBot="1" x14ac:dyDescent="0.35">
      <c r="A10" s="22">
        <v>10</v>
      </c>
      <c r="B10" s="27">
        <f>(((SQRT(B5)*$B$3)/SQRT(3))*$C$15)/$A10</f>
        <v>166.27687752661222</v>
      </c>
      <c r="C10" s="27">
        <f>(((SQRT(C5)*$B$3)/SQRT(3))*$C$15)/$A10</f>
        <v>332.55375505322445</v>
      </c>
      <c r="D10" s="27">
        <f>(((SQRT(D5)*$B$3)/SQRT(3))*$C$15)/$A10</f>
        <v>470.30203061437021</v>
      </c>
      <c r="F10" s="106"/>
      <c r="G10" s="106"/>
      <c r="H10" s="106"/>
      <c r="I10" s="132"/>
      <c r="J10" s="42" t="str">
        <f>IF(I10="","","bis")</f>
        <v/>
      </c>
      <c r="K10" s="18"/>
      <c r="L10" s="20">
        <f>(((SQRT($I10)*$B$3)/SQRT(3))*60000)/($B$12*$B$15)</f>
        <v>0</v>
      </c>
      <c r="M10" s="42" t="str">
        <f>IF(L10="","","bis")</f>
        <v>bis</v>
      </c>
      <c r="N10" s="18">
        <f>(((SQRT($K10)*$B$3)/SQRT(3))*60000)/($B$12*$B$15)</f>
        <v>0</v>
      </c>
      <c r="O10" s="20"/>
      <c r="P10" s="42" t="str">
        <f>IF(O10="","","bis")</f>
        <v/>
      </c>
      <c r="Q10" s="18"/>
      <c r="R10" s="20">
        <f>(((SQRT($O10)*$B$3)/SQRT(3))*60000)/($B$12*$B$15)</f>
        <v>0</v>
      </c>
      <c r="S10" s="42" t="str">
        <f>IF(R10="","","bis")</f>
        <v>bis</v>
      </c>
      <c r="T10" s="18">
        <f>(((SQRT($Q10)*$B$3)/SQRT(3))*60000)/($B$12*$B$15)</f>
        <v>0</v>
      </c>
      <c r="U10" s="20"/>
      <c r="V10" s="42" t="str">
        <f>IF(U10="","","bis")</f>
        <v/>
      </c>
      <c r="W10" s="18"/>
      <c r="X10" s="20">
        <f>(((SQRT($U10)*$B$3)/SQRT(3))*60000)/($B$12*$B$15)</f>
        <v>0</v>
      </c>
      <c r="Y10" s="42" t="str">
        <f>IF(X10="","","bis")</f>
        <v>bis</v>
      </c>
      <c r="Z10" s="18">
        <f>(((SQRT($W10)*$B$3)/SQRT(3))*60000)/($B$12*$B$15)</f>
        <v>0</v>
      </c>
      <c r="AA10" s="133"/>
      <c r="AB10" s="42" t="str">
        <f>IF(AA10="","","bis")</f>
        <v/>
      </c>
      <c r="AC10" s="134"/>
    </row>
    <row r="11" spans="1:29" ht="18" thickBot="1" x14ac:dyDescent="0.35">
      <c r="J11" s="2"/>
    </row>
    <row r="12" spans="1:29" ht="18" thickBot="1" x14ac:dyDescent="0.35">
      <c r="A12" s="23" t="s">
        <v>56</v>
      </c>
      <c r="B12" s="8">
        <v>200</v>
      </c>
      <c r="C12" s="24"/>
      <c r="D12" s="167">
        <f>Tabelle1!A2</f>
        <v>200</v>
      </c>
    </row>
    <row r="13" spans="1:29" ht="18" thickBot="1" x14ac:dyDescent="0.35">
      <c r="A13" s="23" t="s">
        <v>57</v>
      </c>
      <c r="B13" s="25">
        <f>POWER(((SQRT(3)*$C$13)/$B$3),2)</f>
        <v>0.36168981481481477</v>
      </c>
      <c r="C13" s="26">
        <f>(B12*B14*B15)/60000</f>
        <v>0.83333333333333337</v>
      </c>
      <c r="D13" s="25">
        <f>POWER(((SQRT(3)*$E$13)/$B$3),2)</f>
        <v>4.1811342592592595</v>
      </c>
      <c r="E13" s="26">
        <f>(D12*D14*D15)/60000</f>
        <v>2.8333333333333335</v>
      </c>
    </row>
    <row r="14" spans="1:29" ht="18" thickBot="1" x14ac:dyDescent="0.35">
      <c r="A14" s="23" t="s">
        <v>58</v>
      </c>
      <c r="B14" s="9">
        <v>5</v>
      </c>
      <c r="D14" s="168">
        <f>Tabelle1!A4</f>
        <v>17</v>
      </c>
    </row>
    <row r="15" spans="1:29" ht="18" thickBot="1" x14ac:dyDescent="0.35">
      <c r="A15" s="23" t="s">
        <v>61</v>
      </c>
      <c r="B15" s="29">
        <v>50</v>
      </c>
      <c r="C15" s="26">
        <f>(60000/B15)</f>
        <v>1200</v>
      </c>
      <c r="D15" s="29">
        <v>50</v>
      </c>
    </row>
  </sheetData>
  <sheetProtection algorithmName="SHA-512" hashValue="o99H57puXaDhfew9cUAzJzbknpugcf7RuPPkg8JYzbn5eoDubMvcttPDEUdkE0gwJN/TyVVaOOc8V8mR5QvPEQ==" saltValue="Z7ogOOKKH3xpOuCiRYh3IA==" spinCount="100000" sheet="1" objects="1" scenarios="1"/>
  <mergeCells count="11">
    <mergeCell ref="B3:D3"/>
    <mergeCell ref="I4:N4"/>
    <mergeCell ref="O4:T4"/>
    <mergeCell ref="U4:Z4"/>
    <mergeCell ref="AA4:AC5"/>
    <mergeCell ref="I5:K5"/>
    <mergeCell ref="L5:N5"/>
    <mergeCell ref="O5:Q5"/>
    <mergeCell ref="R5:T5"/>
    <mergeCell ref="U5:W5"/>
    <mergeCell ref="X5:Z5"/>
  </mergeCells>
  <conditionalFormatting sqref="B9">
    <cfRule type="cellIs" dxfId="21" priority="8" operator="greaterThan">
      <formula>$B$12</formula>
    </cfRule>
  </conditionalFormatting>
  <conditionalFormatting sqref="C6">
    <cfRule type="cellIs" dxfId="20" priority="14" operator="greaterThan">
      <formula>$B$12</formula>
    </cfRule>
  </conditionalFormatting>
  <conditionalFormatting sqref="B6">
    <cfRule type="cellIs" dxfId="19" priority="15" operator="greaterThan">
      <formula>$B$12</formula>
    </cfRule>
  </conditionalFormatting>
  <conditionalFormatting sqref="B7">
    <cfRule type="cellIs" dxfId="18" priority="12" operator="greaterThan">
      <formula>$B$12</formula>
    </cfRule>
  </conditionalFormatting>
  <conditionalFormatting sqref="D10">
    <cfRule type="cellIs" dxfId="17" priority="1" operator="greaterThan">
      <formula>$B$12</formula>
    </cfRule>
  </conditionalFormatting>
  <conditionalFormatting sqref="D6">
    <cfRule type="cellIs" dxfId="16" priority="13" operator="greaterThan">
      <formula>$B$12</formula>
    </cfRule>
  </conditionalFormatting>
  <conditionalFormatting sqref="C7">
    <cfRule type="cellIs" dxfId="15" priority="11" operator="greaterThan">
      <formula>$B$12</formula>
    </cfRule>
  </conditionalFormatting>
  <conditionalFormatting sqref="D7">
    <cfRule type="cellIs" dxfId="14" priority="10" operator="greaterThan">
      <formula>$B$12</formula>
    </cfRule>
  </conditionalFormatting>
  <conditionalFormatting sqref="B8">
    <cfRule type="cellIs" dxfId="13" priority="9" operator="greaterThan">
      <formula>$B$12</formula>
    </cfRule>
  </conditionalFormatting>
  <conditionalFormatting sqref="B10">
    <cfRule type="cellIs" dxfId="12" priority="7" operator="greaterThan">
      <formula>$B$12</formula>
    </cfRule>
  </conditionalFormatting>
  <conditionalFormatting sqref="C8">
    <cfRule type="cellIs" dxfId="11" priority="6" operator="greaterThan">
      <formula>$B$12</formula>
    </cfRule>
  </conditionalFormatting>
  <conditionalFormatting sqref="D8">
    <cfRule type="cellIs" dxfId="10" priority="5" operator="greaterThan">
      <formula>$B$12</formula>
    </cfRule>
  </conditionalFormatting>
  <conditionalFormatting sqref="C9">
    <cfRule type="cellIs" dxfId="9" priority="4" operator="greaterThan">
      <formula>$B$12</formula>
    </cfRule>
  </conditionalFormatting>
  <conditionalFormatting sqref="D9">
    <cfRule type="cellIs" dxfId="8" priority="3" operator="greaterThan">
      <formula>$B$12</formula>
    </cfRule>
  </conditionalFormatting>
  <conditionalFormatting sqref="C10">
    <cfRule type="cellIs" dxfId="7" priority="2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33"/>
  <sheetViews>
    <sheetView showGridLines="0" showRowColHeaders="0" zoomScale="70" zoomScaleNormal="70" workbookViewId="0">
      <selection activeCell="A4" sqref="A4"/>
    </sheetView>
  </sheetViews>
  <sheetFormatPr baseColWidth="10" defaultColWidth="11.44140625" defaultRowHeight="15" x14ac:dyDescent="0.25"/>
  <cols>
    <col min="1" max="1" width="51.33203125" style="54" bestFit="1" customWidth="1"/>
    <col min="2" max="6" width="15.6640625" style="54" customWidth="1"/>
    <col min="7" max="7" width="23.6640625" style="54" customWidth="1"/>
    <col min="8" max="8" width="15.6640625" style="54" customWidth="1"/>
    <col min="9" max="9" width="18.33203125" style="54" customWidth="1"/>
    <col min="10" max="19" width="15.6640625" style="54" customWidth="1"/>
    <col min="20" max="16384" width="11.44140625" style="54"/>
  </cols>
  <sheetData>
    <row r="1" spans="1:19" ht="15.6" thickBot="1" x14ac:dyDescent="0.3"/>
    <row r="2" spans="1:19" ht="42" customHeight="1" thickBot="1" x14ac:dyDescent="0.3">
      <c r="A2" s="55">
        <v>70</v>
      </c>
      <c r="B2" s="56" t="s">
        <v>155</v>
      </c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</row>
    <row r="3" spans="1:19" ht="20.100000000000001" customHeight="1" thickBot="1" x14ac:dyDescent="0.35">
      <c r="A3" s="58" t="s">
        <v>4</v>
      </c>
      <c r="B3" s="59"/>
      <c r="C3" s="60"/>
      <c r="D3" s="60"/>
      <c r="E3" s="60"/>
      <c r="F3" s="60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</row>
    <row r="4" spans="1:19" ht="39.9" customHeight="1" thickBot="1" x14ac:dyDescent="0.3">
      <c r="A4" s="61">
        <v>7</v>
      </c>
      <c r="B4" s="56" t="s">
        <v>5</v>
      </c>
      <c r="E4" s="62" t="s">
        <v>156</v>
      </c>
      <c r="F4" s="62" t="s">
        <v>157</v>
      </c>
      <c r="G4" s="62" t="s">
        <v>158</v>
      </c>
      <c r="H4" s="62" t="s">
        <v>159</v>
      </c>
      <c r="I4" s="62" t="s">
        <v>160</v>
      </c>
      <c r="J4" s="62" t="s">
        <v>161</v>
      </c>
      <c r="K4" s="63">
        <v>25</v>
      </c>
      <c r="L4" s="446" t="s">
        <v>162</v>
      </c>
      <c r="M4" s="447"/>
      <c r="N4" s="57"/>
      <c r="O4" s="57"/>
      <c r="P4" s="57"/>
      <c r="Q4" s="57"/>
      <c r="R4" s="57"/>
      <c r="S4" s="57"/>
    </row>
    <row r="5" spans="1:19" s="65" customFormat="1" ht="39" customHeight="1" thickBot="1" x14ac:dyDescent="0.3">
      <c r="A5" s="64">
        <v>50</v>
      </c>
      <c r="B5" s="56" t="s">
        <v>64</v>
      </c>
      <c r="E5" s="66"/>
      <c r="F5" s="66"/>
      <c r="G5" s="66"/>
      <c r="H5" s="66"/>
      <c r="I5" s="66"/>
      <c r="J5" s="66" t="s">
        <v>163</v>
      </c>
      <c r="K5" s="67">
        <v>1.31</v>
      </c>
      <c r="L5" s="446" t="s">
        <v>164</v>
      </c>
      <c r="M5" s="448"/>
    </row>
    <row r="6" spans="1:19" ht="37.5" customHeight="1" thickBot="1" x14ac:dyDescent="0.3">
      <c r="A6" s="62" t="str">
        <f>IF(E8=FALSE,E4,IF(F8=FALSE,F4,IF(G8=FALSE,G4,IF(H8=FALSE,H4,IF(I8=FALSE,I4,IF(J8=FALSE,J4,""))))))</f>
        <v>andere</v>
      </c>
      <c r="B6" s="56" t="s">
        <v>165</v>
      </c>
      <c r="E6" s="449" t="str">
        <f>IF(D9&gt;1,"Bitte nur einen Dünger auswählen","")</f>
        <v/>
      </c>
      <c r="F6" s="450"/>
      <c r="G6" s="450"/>
      <c r="H6" s="450"/>
      <c r="I6" s="450"/>
      <c r="J6" s="450"/>
      <c r="K6" s="451"/>
    </row>
    <row r="7" spans="1:19" s="71" customFormat="1" ht="29.25" customHeight="1" thickBot="1" x14ac:dyDescent="0.35">
      <c r="A7" s="68"/>
      <c r="B7" s="68"/>
      <c r="C7" s="68"/>
      <c r="D7" s="69"/>
      <c r="E7" s="70"/>
    </row>
    <row r="8" spans="1:19" s="71" customFormat="1" ht="29.25" hidden="1" customHeight="1" x14ac:dyDescent="0.3">
      <c r="E8" s="71" t="b">
        <f t="shared" ref="E8:J8" si="0">ISBLANK(E5)</f>
        <v>1</v>
      </c>
      <c r="F8" s="71" t="b">
        <f t="shared" si="0"/>
        <v>1</v>
      </c>
      <c r="G8" s="71" t="b">
        <f t="shared" si="0"/>
        <v>1</v>
      </c>
      <c r="H8" s="71" t="b">
        <f t="shared" si="0"/>
        <v>1</v>
      </c>
      <c r="I8" s="71" t="b">
        <f t="shared" si="0"/>
        <v>1</v>
      </c>
      <c r="J8" s="71" t="b">
        <f t="shared" si="0"/>
        <v>0</v>
      </c>
    </row>
    <row r="9" spans="1:19" s="71" customFormat="1" ht="29.25" hidden="1" customHeight="1" thickBot="1" x14ac:dyDescent="0.35">
      <c r="D9" s="71">
        <f>SUM(E9:J9)</f>
        <v>1</v>
      </c>
      <c r="E9" s="71">
        <f t="shared" ref="E9:J9" si="1">IF(E8=FALSE,1,0)</f>
        <v>0</v>
      </c>
      <c r="F9" s="71">
        <f t="shared" si="1"/>
        <v>0</v>
      </c>
      <c r="G9" s="71">
        <f t="shared" si="1"/>
        <v>0</v>
      </c>
      <c r="H9" s="71">
        <f t="shared" si="1"/>
        <v>0</v>
      </c>
      <c r="I9" s="71">
        <f t="shared" si="1"/>
        <v>0</v>
      </c>
      <c r="J9" s="71">
        <f t="shared" si="1"/>
        <v>1</v>
      </c>
    </row>
    <row r="10" spans="1:19" ht="51" customHeight="1" thickBot="1" x14ac:dyDescent="0.3">
      <c r="A10" s="72" t="s">
        <v>0</v>
      </c>
      <c r="B10" s="73" t="str">
        <f>"01"</f>
        <v>01</v>
      </c>
      <c r="C10" s="74" t="str">
        <f>"015"</f>
        <v>015</v>
      </c>
      <c r="D10" s="75" t="s">
        <v>166</v>
      </c>
      <c r="E10" s="76" t="s">
        <v>167</v>
      </c>
      <c r="F10" s="77" t="s">
        <v>168</v>
      </c>
      <c r="G10" s="78" t="s">
        <v>169</v>
      </c>
      <c r="H10" s="79" t="s">
        <v>170</v>
      </c>
      <c r="I10" s="80" t="s">
        <v>171</v>
      </c>
      <c r="J10" s="81" t="s">
        <v>172</v>
      </c>
      <c r="K10" s="82" t="s">
        <v>173</v>
      </c>
      <c r="L10" s="83" t="s">
        <v>174</v>
      </c>
      <c r="M10" s="84" t="s">
        <v>175</v>
      </c>
    </row>
    <row r="11" spans="1:19" ht="18" thickBot="1" x14ac:dyDescent="0.3">
      <c r="A11" s="72" t="s">
        <v>176</v>
      </c>
      <c r="B11" s="85">
        <v>0.4</v>
      </c>
      <c r="C11" s="85">
        <v>0.6</v>
      </c>
      <c r="D11" s="86">
        <v>0.8</v>
      </c>
      <c r="E11" s="87">
        <v>1</v>
      </c>
      <c r="F11" s="86">
        <v>1.2</v>
      </c>
      <c r="G11" s="86">
        <v>1.6</v>
      </c>
      <c r="H11" s="87">
        <v>2</v>
      </c>
      <c r="I11" s="87">
        <v>2.4</v>
      </c>
      <c r="J11" s="87">
        <v>3.2</v>
      </c>
      <c r="K11" s="87">
        <v>4</v>
      </c>
      <c r="L11" s="87">
        <v>6</v>
      </c>
      <c r="M11" s="88">
        <v>8</v>
      </c>
    </row>
    <row r="12" spans="1:19" ht="18" thickBot="1" x14ac:dyDescent="0.3">
      <c r="A12" s="43"/>
      <c r="B12" s="89" t="str">
        <f t="shared" ref="B12:M12" si="2">IF(POWER(((SQRT(3)*$B$13)/B11),2)&gt;8,"",POWER(((SQRT(3)*$B$13)/B11),2))</f>
        <v/>
      </c>
      <c r="C12" s="90" t="str">
        <f t="shared" si="2"/>
        <v/>
      </c>
      <c r="D12" s="90" t="str">
        <f t="shared" si="2"/>
        <v/>
      </c>
      <c r="E12" s="90">
        <f t="shared" si="2"/>
        <v>6.10941475826972</v>
      </c>
      <c r="F12" s="90">
        <f t="shared" si="2"/>
        <v>4.2426491376873052</v>
      </c>
      <c r="G12" s="90">
        <f t="shared" si="2"/>
        <v>2.386490139949109</v>
      </c>
      <c r="H12" s="90">
        <f t="shared" si="2"/>
        <v>1.52735368956743</v>
      </c>
      <c r="I12" s="90">
        <f t="shared" si="2"/>
        <v>1.0606622844218263</v>
      </c>
      <c r="J12" s="90">
        <f t="shared" si="2"/>
        <v>0.59662253498727724</v>
      </c>
      <c r="K12" s="90">
        <f t="shared" si="2"/>
        <v>0.3818384223918575</v>
      </c>
      <c r="L12" s="90">
        <f t="shared" si="2"/>
        <v>0.16970596550749223</v>
      </c>
      <c r="M12" s="90">
        <f t="shared" si="2"/>
        <v>9.5459605597964375E-2</v>
      </c>
    </row>
    <row r="13" spans="1:19" s="91" customFormat="1" ht="29.25" customHeight="1" thickBot="1" x14ac:dyDescent="0.3">
      <c r="A13" s="438" t="s">
        <v>177</v>
      </c>
      <c r="B13" s="452">
        <f>IF($E$8=FALSE,(($J$23*$A$5*$A$4)/(60000)),IF($F$8=FALSE,($J$24*$A$5*$A$4)/(60000),IF($G$8=FALSE,($J$25*$A$5*$A$4)/(60000),IF($H$8=FALSE,($J$26*$A$5*$A$4)/(60000),IF($I$8=FALSE,($J$27*$A$5*$A$4)/(60000),IF($J$8=FALSE,($J$28*$A$5*$A$4)/(60000),""))))))</f>
        <v>1.4270499592130288</v>
      </c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4"/>
    </row>
    <row r="14" spans="1:19" ht="36" customHeight="1" thickBot="1" x14ac:dyDescent="0.3">
      <c r="A14" s="439"/>
      <c r="B14" s="455">
        <f>IF($E$8=FALSE,J23,IF($F$8=FALSE,J24,IF($G$8=FALSE,J25,IF($H$8=FALSE,J26,IF($I$8=FALSE,J27,IF($K$8=FALSE,J28,""))))))</f>
        <v>244.63713586509064</v>
      </c>
      <c r="C14" s="456"/>
      <c r="D14" s="456"/>
      <c r="E14" s="456"/>
      <c r="F14" s="456"/>
      <c r="G14" s="456"/>
      <c r="H14" s="456"/>
      <c r="I14" s="456"/>
      <c r="J14" s="456"/>
      <c r="K14" s="456"/>
      <c r="L14" s="456"/>
      <c r="M14" s="457"/>
      <c r="N14" s="92"/>
      <c r="O14" s="92"/>
    </row>
    <row r="15" spans="1:19" ht="36" customHeight="1" thickBot="1" x14ac:dyDescent="0.3">
      <c r="A15" s="438" t="s">
        <v>178</v>
      </c>
      <c r="B15" s="440">
        <f>IF($E$8=FALSE,(H23*(($J$23*$A$5*$A$4)/(60000))),IF($F$8=FALSE,(H24*($J$24*$A$5*$A$4)/(60000)),IF($G$8=FALSE,(H25*($J$25*$A$5*$A$4)/(60000)),IF($H$8=FALSE,(H26*($J$26*$A$5*$A$4)/(60000)),IF($I$8=FALSE,(H27*($J$27*$A$5*$A$4)/(60000)),IF($K$8=FALSE,(H28*($J$28*$A$5*$A$4)/(60000)),""))))))</f>
        <v>1.246819338422392</v>
      </c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2"/>
      <c r="N15" s="92"/>
      <c r="O15" s="92"/>
    </row>
    <row r="16" spans="1:19" ht="36" customHeight="1" thickBot="1" x14ac:dyDescent="0.3">
      <c r="A16" s="439"/>
      <c r="B16" s="443">
        <f>IF($E$8=FALSE,K23,IF($F$8=FALSE,K24,IF($G$8=FALSE,K25,IF($H$8=FALSE,K26,IF($I$8=FALSE,K27,IF($K$8=FALSE,K28,""))))))</f>
        <v>213.74045801526719</v>
      </c>
      <c r="C16" s="444"/>
      <c r="D16" s="444"/>
      <c r="E16" s="444"/>
      <c r="F16" s="444"/>
      <c r="G16" s="444"/>
      <c r="H16" s="444"/>
      <c r="I16" s="444"/>
      <c r="J16" s="444"/>
      <c r="K16" s="444"/>
      <c r="L16" s="444"/>
      <c r="M16" s="445"/>
      <c r="N16" s="92"/>
      <c r="O16" s="92"/>
    </row>
    <row r="17" spans="2:15" ht="12.75" customHeight="1" x14ac:dyDescent="0.25">
      <c r="D17" s="92"/>
      <c r="G17" s="92"/>
      <c r="H17" s="93"/>
      <c r="I17" s="93"/>
      <c r="J17" s="93"/>
      <c r="L17" s="92"/>
      <c r="M17" s="92"/>
      <c r="N17" s="92"/>
      <c r="O17" s="92"/>
    </row>
    <row r="18" spans="2:15" s="95" customFormat="1" hidden="1" x14ac:dyDescent="0.25">
      <c r="B18" s="94"/>
      <c r="D18" s="96"/>
      <c r="E18" s="94"/>
      <c r="F18" s="96"/>
      <c r="H18" s="94"/>
      <c r="L18" s="97"/>
    </row>
    <row r="19" spans="2:15" s="95" customFormat="1" hidden="1" x14ac:dyDescent="0.25">
      <c r="B19" s="98"/>
      <c r="C19" s="98"/>
      <c r="D19" s="98"/>
      <c r="E19" s="98"/>
      <c r="F19" s="98">
        <v>-0.41420000000000001</v>
      </c>
      <c r="G19" s="98">
        <v>0.45279999999999998</v>
      </c>
      <c r="H19" s="98" t="s">
        <v>163</v>
      </c>
      <c r="I19" s="98"/>
      <c r="J19" s="98"/>
      <c r="K19" s="98"/>
      <c r="L19" s="94"/>
    </row>
    <row r="20" spans="2:15" s="95" customFormat="1" hidden="1" x14ac:dyDescent="0.25">
      <c r="B20" s="98"/>
      <c r="C20" s="98"/>
      <c r="D20" s="98"/>
      <c r="E20" s="98"/>
      <c r="F20" s="98">
        <v>1.42</v>
      </c>
      <c r="G20" s="98">
        <v>0.54779999999999995</v>
      </c>
      <c r="H20" s="98" t="s">
        <v>179</v>
      </c>
      <c r="I20" s="98"/>
      <c r="J20" s="98" t="s">
        <v>180</v>
      </c>
      <c r="K20" s="98" t="s">
        <v>181</v>
      </c>
    </row>
    <row r="21" spans="2:15" s="95" customFormat="1" ht="15" hidden="1" customHeight="1" x14ac:dyDescent="0.25">
      <c r="B21" s="98"/>
      <c r="C21" s="98" t="s">
        <v>182</v>
      </c>
      <c r="D21" s="98" t="s">
        <v>183</v>
      </c>
      <c r="E21" s="98" t="s">
        <v>184</v>
      </c>
      <c r="F21" s="98" t="s">
        <v>185</v>
      </c>
      <c r="G21" s="98" t="s">
        <v>186</v>
      </c>
      <c r="H21" s="98" t="s">
        <v>185</v>
      </c>
      <c r="I21" s="98" t="s">
        <v>186</v>
      </c>
      <c r="J21" s="98" t="s">
        <v>52</v>
      </c>
      <c r="K21" s="98" t="s">
        <v>52</v>
      </c>
    </row>
    <row r="22" spans="2:15" s="95" customFormat="1" ht="15" hidden="1" customHeight="1" x14ac:dyDescent="0.25">
      <c r="B22" s="98"/>
      <c r="C22" s="98" t="s">
        <v>187</v>
      </c>
      <c r="D22" s="98" t="s">
        <v>164</v>
      </c>
      <c r="E22" s="98" t="s">
        <v>188</v>
      </c>
      <c r="F22" s="98"/>
      <c r="G22" s="98"/>
      <c r="H22" s="98"/>
      <c r="I22" s="98"/>
      <c r="J22" s="98"/>
      <c r="K22" s="98"/>
    </row>
    <row r="23" spans="2:15" s="95" customFormat="1" ht="15" hidden="1" customHeight="1" x14ac:dyDescent="0.25">
      <c r="B23" s="98" t="s">
        <v>189</v>
      </c>
      <c r="C23" s="98">
        <v>28</v>
      </c>
      <c r="D23" s="98">
        <v>1.28</v>
      </c>
      <c r="E23" s="99">
        <f t="shared" ref="E23:E28" si="3">C23*D23</f>
        <v>35.840000000000003</v>
      </c>
      <c r="F23" s="100">
        <f t="shared" ref="F23:F28" si="4">$F$18*D23+$F$19</f>
        <v>-0.41420000000000001</v>
      </c>
      <c r="G23" s="100">
        <f t="shared" ref="G23:G28" si="5">($G$18*D23)+$G$19</f>
        <v>0.45279999999999998</v>
      </c>
      <c r="H23" s="101">
        <f t="shared" ref="H23:H28" si="6">SQRT((1/D23))</f>
        <v>0.88388347648318444</v>
      </c>
      <c r="I23" s="101">
        <f t="shared" ref="I23:I28" si="7">SQRT(D23)</f>
        <v>1.131370849898476</v>
      </c>
      <c r="J23" s="99">
        <f t="shared" ref="J23:J28" si="8">$A$2*(100/E23)*I23</f>
        <v>220.97086912079607</v>
      </c>
      <c r="K23" s="99">
        <f t="shared" ref="K23:K28" si="9">J23*H23</f>
        <v>195.31249999999997</v>
      </c>
    </row>
    <row r="24" spans="2:15" s="95" customFormat="1" ht="15" hidden="1" customHeight="1" x14ac:dyDescent="0.25">
      <c r="B24" s="98" t="s">
        <v>190</v>
      </c>
      <c r="C24" s="98">
        <v>30</v>
      </c>
      <c r="D24" s="101">
        <v>1.32</v>
      </c>
      <c r="E24" s="99">
        <f t="shared" si="3"/>
        <v>39.6</v>
      </c>
      <c r="F24" s="100">
        <f t="shared" si="4"/>
        <v>-0.41420000000000001</v>
      </c>
      <c r="G24" s="100">
        <f t="shared" si="5"/>
        <v>0.45279999999999998</v>
      </c>
      <c r="H24" s="101">
        <f t="shared" si="6"/>
        <v>0.8703882797784892</v>
      </c>
      <c r="I24" s="101">
        <f t="shared" si="7"/>
        <v>1.1489125293076057</v>
      </c>
      <c r="J24" s="99">
        <f t="shared" si="8"/>
        <v>203.09059861498079</v>
      </c>
      <c r="K24" s="99">
        <f t="shared" si="9"/>
        <v>176.76767676767676</v>
      </c>
    </row>
    <row r="25" spans="2:15" s="95" customFormat="1" hidden="1" x14ac:dyDescent="0.25">
      <c r="B25" s="98" t="s">
        <v>191</v>
      </c>
      <c r="C25" s="98">
        <v>25</v>
      </c>
      <c r="D25" s="98">
        <v>1.31</v>
      </c>
      <c r="E25" s="99">
        <f t="shared" si="3"/>
        <v>32.75</v>
      </c>
      <c r="F25" s="100">
        <f t="shared" si="4"/>
        <v>-0.41420000000000001</v>
      </c>
      <c r="G25" s="100">
        <f t="shared" si="5"/>
        <v>0.45279999999999998</v>
      </c>
      <c r="H25" s="101">
        <f t="shared" si="6"/>
        <v>0.8737040566610379</v>
      </c>
      <c r="I25" s="101">
        <f t="shared" si="7"/>
        <v>1.1445523142259597</v>
      </c>
      <c r="J25" s="99">
        <f t="shared" si="8"/>
        <v>244.63713586509064</v>
      </c>
      <c r="K25" s="99">
        <f t="shared" si="9"/>
        <v>213.74045801526719</v>
      </c>
    </row>
    <row r="26" spans="2:15" s="95" customFormat="1" ht="36.75" hidden="1" customHeight="1" x14ac:dyDescent="0.25">
      <c r="B26" s="98" t="s">
        <v>192</v>
      </c>
      <c r="C26" s="98">
        <v>8</v>
      </c>
      <c r="D26" s="98">
        <v>1.24</v>
      </c>
      <c r="E26" s="99">
        <f t="shared" si="3"/>
        <v>9.92</v>
      </c>
      <c r="F26" s="100">
        <f t="shared" si="4"/>
        <v>-0.41420000000000001</v>
      </c>
      <c r="G26" s="100">
        <f t="shared" si="5"/>
        <v>0.45279999999999998</v>
      </c>
      <c r="H26" s="101">
        <f t="shared" si="6"/>
        <v>0.89802651013387458</v>
      </c>
      <c r="I26" s="101">
        <f t="shared" si="7"/>
        <v>1.1135528725660044</v>
      </c>
      <c r="J26" s="99">
        <f t="shared" si="8"/>
        <v>785.77319636714026</v>
      </c>
      <c r="K26" s="99">
        <f t="shared" si="9"/>
        <v>705.64516129032268</v>
      </c>
    </row>
    <row r="27" spans="2:15" s="95" customFormat="1" hidden="1" x14ac:dyDescent="0.25">
      <c r="B27" s="98" t="s">
        <v>193</v>
      </c>
      <c r="C27" s="98">
        <v>12</v>
      </c>
      <c r="D27" s="98">
        <v>1.32</v>
      </c>
      <c r="E27" s="99">
        <f t="shared" si="3"/>
        <v>15.84</v>
      </c>
      <c r="F27" s="100">
        <f t="shared" si="4"/>
        <v>-0.41420000000000001</v>
      </c>
      <c r="G27" s="100">
        <f t="shared" si="5"/>
        <v>0.45279999999999998</v>
      </c>
      <c r="H27" s="101">
        <f t="shared" si="6"/>
        <v>0.8703882797784892</v>
      </c>
      <c r="I27" s="101">
        <f t="shared" si="7"/>
        <v>1.1489125293076057</v>
      </c>
      <c r="J27" s="99">
        <f t="shared" si="8"/>
        <v>507.72649653745202</v>
      </c>
      <c r="K27" s="99">
        <f t="shared" si="9"/>
        <v>441.91919191919192</v>
      </c>
    </row>
    <row r="28" spans="2:15" s="95" customFormat="1" hidden="1" x14ac:dyDescent="0.25">
      <c r="B28" s="98" t="s">
        <v>194</v>
      </c>
      <c r="C28" s="102">
        <f>K4</f>
        <v>25</v>
      </c>
      <c r="D28" s="103">
        <f>K5</f>
        <v>1.31</v>
      </c>
      <c r="E28" s="98">
        <f t="shared" si="3"/>
        <v>32.75</v>
      </c>
      <c r="F28" s="100">
        <f t="shared" si="4"/>
        <v>-0.41420000000000001</v>
      </c>
      <c r="G28" s="100">
        <f t="shared" si="5"/>
        <v>0.45279999999999998</v>
      </c>
      <c r="H28" s="101">
        <f t="shared" si="6"/>
        <v>0.8737040566610379</v>
      </c>
      <c r="I28" s="101">
        <f t="shared" si="7"/>
        <v>1.1445523142259597</v>
      </c>
      <c r="J28" s="99">
        <f t="shared" si="8"/>
        <v>244.63713586509064</v>
      </c>
      <c r="K28" s="99">
        <f t="shared" si="9"/>
        <v>213.74045801526719</v>
      </c>
    </row>
    <row r="29" spans="2:15" s="95" customFormat="1" x14ac:dyDescent="0.25">
      <c r="B29" s="94"/>
      <c r="C29" s="94"/>
      <c r="D29" s="94"/>
      <c r="E29" s="94"/>
      <c r="F29" s="94"/>
      <c r="G29" s="94"/>
    </row>
    <row r="30" spans="2:15" s="95" customFormat="1" x14ac:dyDescent="0.25">
      <c r="B30" s="94"/>
      <c r="C30" s="94"/>
      <c r="D30" s="94"/>
      <c r="E30" s="94"/>
      <c r="F30" s="94"/>
      <c r="G30" s="94"/>
    </row>
    <row r="31" spans="2:15" s="95" customFormat="1" x14ac:dyDescent="0.25">
      <c r="B31" s="94"/>
    </row>
    <row r="32" spans="2:15" s="95" customFormat="1" x14ac:dyDescent="0.25">
      <c r="B32" s="94"/>
    </row>
    <row r="33" spans="1:19" x14ac:dyDescent="0.25">
      <c r="A33" s="95"/>
      <c r="B33" s="94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</row>
  </sheetData>
  <sheetProtection algorithmName="SHA-512" hashValue="Mpp7ftoMFdLx/ZGWpA9M6sGFWwFqHRKeHVLHt4DMVgyEwSffS9j43jvWKUs5W5slAtP+u/exFzPvrSqQkolPoA==" saltValue="cO5mNSuZ2GdC7cEagxUHVA==" spinCount="100000" sheet="1" selectLockedCells="1"/>
  <mergeCells count="9">
    <mergeCell ref="A15:A16"/>
    <mergeCell ref="B15:M15"/>
    <mergeCell ref="B16:M16"/>
    <mergeCell ref="L4:M4"/>
    <mergeCell ref="L5:M5"/>
    <mergeCell ref="E6:K6"/>
    <mergeCell ref="A13:A14"/>
    <mergeCell ref="B13:M13"/>
    <mergeCell ref="B14:M14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U5"/>
  <sheetViews>
    <sheetView workbookViewId="0">
      <selection activeCell="K30" sqref="K30"/>
    </sheetView>
  </sheetViews>
  <sheetFormatPr baseColWidth="10" defaultColWidth="11.44140625" defaultRowHeight="15" x14ac:dyDescent="0.3"/>
  <cols>
    <col min="1" max="3" width="11.44140625" style="123"/>
    <col min="4" max="4" width="12.88671875" style="123" bestFit="1" customWidth="1"/>
    <col min="5" max="5" width="20.109375" style="123" bestFit="1" customWidth="1"/>
    <col min="6" max="6" width="15.109375" style="123" bestFit="1" customWidth="1"/>
    <col min="7" max="7" width="10.6640625" style="123" bestFit="1" customWidth="1"/>
    <col min="8" max="8" width="11.44140625" style="123"/>
    <col min="9" max="9" width="4.33203125" style="123" bestFit="1" customWidth="1"/>
    <col min="10" max="10" width="11.44140625" style="123"/>
    <col min="11" max="11" width="10.33203125" style="123" bestFit="1" customWidth="1"/>
    <col min="12" max="13" width="11.44140625" style="123"/>
    <col min="14" max="14" width="4.33203125" style="123" bestFit="1" customWidth="1"/>
    <col min="15" max="15" width="11.44140625" style="123"/>
    <col min="16" max="16" width="5.109375" style="123" bestFit="1" customWidth="1"/>
    <col min="17" max="17" width="4.33203125" style="123" bestFit="1" customWidth="1"/>
    <col min="18" max="18" width="5.109375" style="123" bestFit="1" customWidth="1"/>
    <col min="19" max="19" width="11.44140625" style="123"/>
    <col min="20" max="20" width="4.33203125" style="123" bestFit="1" customWidth="1"/>
    <col min="21" max="16384" width="11.44140625" style="123"/>
  </cols>
  <sheetData>
    <row r="1" spans="3:21" ht="15.6" thickBot="1" x14ac:dyDescent="0.35"/>
    <row r="2" spans="3:21" ht="16.2" thickBot="1" x14ac:dyDescent="0.35">
      <c r="H2" s="384">
        <v>90</v>
      </c>
      <c r="I2" s="385"/>
      <c r="J2" s="385"/>
      <c r="K2" s="401"/>
    </row>
    <row r="3" spans="3:21" ht="15.6" thickBot="1" x14ac:dyDescent="0.35">
      <c r="D3" s="124" t="s">
        <v>9</v>
      </c>
      <c r="E3" s="124" t="s">
        <v>224</v>
      </c>
      <c r="F3" s="126" t="s">
        <v>229</v>
      </c>
      <c r="G3" s="126" t="s">
        <v>228</v>
      </c>
      <c r="H3" s="458" t="s">
        <v>225</v>
      </c>
      <c r="I3" s="459"/>
      <c r="J3" s="460"/>
      <c r="K3" s="124" t="s">
        <v>226</v>
      </c>
      <c r="M3" s="458" t="s">
        <v>225</v>
      </c>
      <c r="N3" s="459"/>
      <c r="O3" s="460"/>
      <c r="P3" s="458" t="s">
        <v>226</v>
      </c>
      <c r="Q3" s="459"/>
      <c r="R3" s="460"/>
      <c r="S3" s="458" t="s">
        <v>231</v>
      </c>
      <c r="T3" s="459"/>
      <c r="U3" s="460"/>
    </row>
    <row r="4" spans="3:21" ht="15.6" thickBot="1" x14ac:dyDescent="0.35">
      <c r="C4" s="123">
        <v>2192</v>
      </c>
      <c r="D4" s="124" t="s">
        <v>23</v>
      </c>
      <c r="E4" s="124" t="s">
        <v>227</v>
      </c>
      <c r="F4" s="127">
        <v>25</v>
      </c>
      <c r="G4" s="127">
        <v>30</v>
      </c>
      <c r="H4" s="125">
        <v>5</v>
      </c>
      <c r="I4" s="124" t="s">
        <v>54</v>
      </c>
      <c r="J4" s="125">
        <v>5</v>
      </c>
      <c r="K4" s="125">
        <v>1</v>
      </c>
      <c r="L4" s="123">
        <v>2025</v>
      </c>
      <c r="M4" s="125">
        <v>2</v>
      </c>
      <c r="N4" s="124" t="s">
        <v>54</v>
      </c>
      <c r="O4" s="125">
        <v>6</v>
      </c>
      <c r="P4" s="124">
        <v>0.4</v>
      </c>
      <c r="Q4" s="124" t="s">
        <v>54</v>
      </c>
      <c r="R4" s="124">
        <v>1.5</v>
      </c>
      <c r="S4" s="130" t="s">
        <v>233</v>
      </c>
      <c r="T4" s="124" t="s">
        <v>54</v>
      </c>
      <c r="U4" s="129" t="s">
        <v>234</v>
      </c>
    </row>
    <row r="5" spans="3:21" ht="15.6" thickBot="1" x14ac:dyDescent="0.35">
      <c r="C5" s="123">
        <v>2288</v>
      </c>
      <c r="D5" s="124" t="s">
        <v>23</v>
      </c>
      <c r="E5" s="124" t="s">
        <v>230</v>
      </c>
      <c r="F5" s="127">
        <v>25</v>
      </c>
      <c r="G5" s="127">
        <v>30</v>
      </c>
      <c r="H5" s="125">
        <v>5</v>
      </c>
      <c r="I5" s="124" t="s">
        <v>54</v>
      </c>
      <c r="J5" s="125">
        <v>5</v>
      </c>
      <c r="K5" s="125">
        <v>1</v>
      </c>
      <c r="L5" s="123">
        <v>2028</v>
      </c>
      <c r="M5" s="125">
        <v>2</v>
      </c>
      <c r="N5" s="124" t="s">
        <v>54</v>
      </c>
      <c r="O5" s="125">
        <v>6</v>
      </c>
      <c r="P5" s="124">
        <v>0.4</v>
      </c>
      <c r="Q5" s="124"/>
      <c r="R5" s="124">
        <v>1.5</v>
      </c>
      <c r="S5" s="129" t="s">
        <v>233</v>
      </c>
      <c r="T5" s="124" t="s">
        <v>54</v>
      </c>
      <c r="U5" s="128" t="s">
        <v>232</v>
      </c>
    </row>
  </sheetData>
  <mergeCells count="5">
    <mergeCell ref="S3:U3"/>
    <mergeCell ref="H3:J3"/>
    <mergeCell ref="M3:O3"/>
    <mergeCell ref="P3:R3"/>
    <mergeCell ref="H2:K2"/>
  </mergeCells>
  <pageMargins left="0.7" right="0.7" top="0.78740157499999996" bottom="0.78740157499999996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8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1.33203125" style="11" bestFit="1" customWidth="1"/>
    <col min="2" max="19" width="15.6640625" style="11" customWidth="1"/>
    <col min="20" max="20" width="6.6640625" style="11" customWidth="1"/>
    <col min="21" max="21" width="11.44140625" style="11"/>
    <col min="22" max="29" width="11.44140625" style="11" hidden="1" customWidth="1"/>
    <col min="30" max="16384" width="11.44140625" style="11"/>
  </cols>
  <sheetData>
    <row r="1" spans="1:29" x14ac:dyDescent="0.3">
      <c r="A1" s="10"/>
      <c r="J1" s="217" t="str">
        <f>_2049b</f>
        <v>TeeJet</v>
      </c>
      <c r="L1" s="11" t="s">
        <v>270</v>
      </c>
      <c r="N1" s="11" t="s">
        <v>35</v>
      </c>
      <c r="V1" s="11" t="s">
        <v>245</v>
      </c>
    </row>
    <row r="2" spans="1:29" x14ac:dyDescent="0.3">
      <c r="J2" s="217" t="str">
        <f>_2049c</f>
        <v>DynaJet</v>
      </c>
      <c r="L2" s="11" t="s">
        <v>30</v>
      </c>
      <c r="N2" s="11" t="s">
        <v>271</v>
      </c>
      <c r="V2" s="11" t="s">
        <v>248</v>
      </c>
      <c r="W2" s="11" t="s">
        <v>247</v>
      </c>
      <c r="X2" s="190" t="s">
        <v>249</v>
      </c>
      <c r="Y2" s="11" t="s">
        <v>250</v>
      </c>
      <c r="Z2" s="11" t="s">
        <v>247</v>
      </c>
      <c r="AA2" s="11">
        <v>30</v>
      </c>
      <c r="AB2" s="11">
        <v>50</v>
      </c>
      <c r="AC2" s="11">
        <v>100</v>
      </c>
    </row>
    <row r="3" spans="1:29" ht="18" thickBot="1" x14ac:dyDescent="0.35">
      <c r="V3" s="11">
        <v>1</v>
      </c>
      <c r="W3" s="187">
        <f>($W$6*SQRT(V3))/SQRT(3)</f>
        <v>0.23094010767585033</v>
      </c>
      <c r="X3" s="11">
        <v>0</v>
      </c>
      <c r="Y3" s="11">
        <f t="shared" ref="Y3:Y10" si="0">V3-X3</f>
        <v>1</v>
      </c>
      <c r="Z3" s="187">
        <f t="shared" ref="Z3:Z10" si="1">($W$6*SQRT(Y3))/SQRT(3)</f>
        <v>0.23094010767585033</v>
      </c>
      <c r="AA3" s="188">
        <f t="shared" ref="AA3:AA10" si="2">$AC3*($AA$2/100)</f>
        <v>0.33255375505322443</v>
      </c>
      <c r="AB3" s="188">
        <f t="shared" ref="AB3:AB10" si="3">$AC3*($AB$2/100)</f>
        <v>0.55425625842204074</v>
      </c>
      <c r="AC3" s="188">
        <f t="shared" ref="AC3:AC10" si="4">($Z3*60000)/($B$4*$B$5)</f>
        <v>1.1085125168440815</v>
      </c>
    </row>
    <row r="4" spans="1:29" ht="18" thickBot="1" x14ac:dyDescent="0.35">
      <c r="A4" s="23" t="s">
        <v>56</v>
      </c>
      <c r="B4" s="8">
        <v>250</v>
      </c>
      <c r="C4" s="171"/>
      <c r="D4" s="171"/>
      <c r="E4" s="171"/>
      <c r="F4" s="24"/>
      <c r="G4" s="24"/>
      <c r="J4" s="115"/>
      <c r="K4" s="115"/>
      <c r="L4" s="115"/>
      <c r="M4" s="115"/>
      <c r="N4" s="115"/>
      <c r="O4" s="115"/>
      <c r="P4" s="428"/>
      <c r="Q4" s="428"/>
      <c r="R4" s="428"/>
      <c r="S4" s="428"/>
      <c r="T4" s="428"/>
      <c r="V4" s="11">
        <v>1.5</v>
      </c>
      <c r="W4" s="187">
        <f>($W$6*SQRT(V4))/SQRT(3)</f>
        <v>0.28284271247461901</v>
      </c>
      <c r="X4" s="11">
        <v>0</v>
      </c>
      <c r="Y4" s="11">
        <f t="shared" si="0"/>
        <v>1.5</v>
      </c>
      <c r="Z4" s="187">
        <f t="shared" si="1"/>
        <v>0.28284271247461901</v>
      </c>
      <c r="AA4" s="188">
        <f t="shared" si="2"/>
        <v>0.40729350596345132</v>
      </c>
      <c r="AB4" s="188">
        <f t="shared" si="3"/>
        <v>0.67882250993908555</v>
      </c>
      <c r="AC4" s="188">
        <f t="shared" si="4"/>
        <v>1.3576450198781711</v>
      </c>
    </row>
    <row r="5" spans="1:29" ht="18" thickBot="1" x14ac:dyDescent="0.35">
      <c r="A5" s="23" t="s">
        <v>61</v>
      </c>
      <c r="B5" s="29">
        <v>50</v>
      </c>
      <c r="C5" s="26">
        <f>(60000/B5)</f>
        <v>1200</v>
      </c>
      <c r="D5" s="171"/>
      <c r="E5" s="26"/>
      <c r="G5" s="173"/>
      <c r="J5" s="115"/>
      <c r="K5" s="115"/>
      <c r="L5" s="115"/>
      <c r="M5" s="115"/>
      <c r="N5" s="115"/>
      <c r="O5" s="115"/>
      <c r="P5" s="136"/>
      <c r="Q5" s="136"/>
      <c r="R5" s="117"/>
      <c r="S5" s="117"/>
      <c r="T5" s="118"/>
      <c r="V5" s="11">
        <v>2</v>
      </c>
      <c r="W5" s="187">
        <f>($W$6*SQRT(V5))/SQRT(3)</f>
        <v>0.32659863237109049</v>
      </c>
      <c r="X5" s="11">
        <v>0</v>
      </c>
      <c r="Y5" s="11">
        <f t="shared" si="0"/>
        <v>2</v>
      </c>
      <c r="Z5" s="187">
        <f t="shared" si="1"/>
        <v>0.32659863237109049</v>
      </c>
      <c r="AA5" s="188">
        <f t="shared" si="2"/>
        <v>0.47030203061437031</v>
      </c>
      <c r="AB5" s="188">
        <f t="shared" si="3"/>
        <v>0.78383671769061725</v>
      </c>
      <c r="AC5" s="188">
        <f t="shared" si="4"/>
        <v>1.5676734353812345</v>
      </c>
    </row>
    <row r="6" spans="1:29" ht="18" thickBot="1" x14ac:dyDescent="0.35">
      <c r="A6" s="195" t="s">
        <v>262</v>
      </c>
      <c r="B6" s="202">
        <v>60</v>
      </c>
      <c r="C6" s="105"/>
      <c r="D6" s="173"/>
      <c r="E6" s="105"/>
      <c r="G6" s="49"/>
      <c r="H6" s="105"/>
      <c r="I6" s="105"/>
      <c r="J6" s="115"/>
      <c r="K6" s="115"/>
      <c r="L6" s="115"/>
      <c r="M6" s="115"/>
      <c r="N6" s="115"/>
      <c r="O6" s="115"/>
      <c r="P6" s="136"/>
      <c r="Q6" s="136"/>
      <c r="R6" s="117"/>
      <c r="S6" s="117"/>
      <c r="T6" s="118"/>
      <c r="V6" s="11">
        <v>3</v>
      </c>
      <c r="W6" s="191">
        <v>0.4</v>
      </c>
      <c r="X6" s="11">
        <v>0</v>
      </c>
      <c r="Y6" s="11">
        <f t="shared" si="0"/>
        <v>3</v>
      </c>
      <c r="Z6" s="187">
        <f t="shared" si="1"/>
        <v>0.4</v>
      </c>
      <c r="AA6" s="188">
        <f t="shared" si="2"/>
        <v>0.57599999999999996</v>
      </c>
      <c r="AB6" s="188">
        <f t="shared" si="3"/>
        <v>0.96</v>
      </c>
      <c r="AC6" s="188">
        <f t="shared" si="4"/>
        <v>1.92</v>
      </c>
    </row>
    <row r="7" spans="1:29" x14ac:dyDescent="0.3">
      <c r="A7" s="192"/>
      <c r="B7" s="105"/>
      <c r="C7" s="105"/>
      <c r="D7" s="49"/>
      <c r="E7" s="105"/>
      <c r="F7" s="105"/>
      <c r="G7" s="105"/>
      <c r="H7" s="105"/>
      <c r="I7" s="105"/>
      <c r="J7" s="115"/>
      <c r="K7" s="115"/>
      <c r="L7" s="115"/>
      <c r="M7" s="115"/>
      <c r="N7" s="115"/>
      <c r="O7" s="115"/>
      <c r="P7" s="136"/>
      <c r="Q7" s="136"/>
      <c r="R7" s="117"/>
      <c r="S7" s="117"/>
      <c r="T7" s="118"/>
      <c r="V7" s="11">
        <v>4</v>
      </c>
      <c r="W7" s="187">
        <f>($W$6*SQRT(V7))/SQRT(3)</f>
        <v>0.46188021535170065</v>
      </c>
      <c r="X7" s="11">
        <v>0</v>
      </c>
      <c r="Y7" s="11">
        <f t="shared" si="0"/>
        <v>4</v>
      </c>
      <c r="Z7" s="187">
        <f t="shared" si="1"/>
        <v>0.46188021535170065</v>
      </c>
      <c r="AA7" s="188">
        <f t="shared" si="2"/>
        <v>0.66510751010644886</v>
      </c>
      <c r="AB7" s="188">
        <f t="shared" si="3"/>
        <v>1.1085125168440815</v>
      </c>
      <c r="AC7" s="188">
        <f t="shared" si="4"/>
        <v>2.2170250336881629</v>
      </c>
    </row>
    <row r="8" spans="1:29" x14ac:dyDescent="0.3">
      <c r="A8" s="192"/>
      <c r="B8" s="105"/>
      <c r="C8" s="105"/>
      <c r="D8" s="105"/>
      <c r="E8" s="105"/>
      <c r="F8" s="105"/>
      <c r="G8" s="105"/>
      <c r="H8" s="105"/>
      <c r="I8" s="105"/>
      <c r="J8" s="115"/>
      <c r="K8" s="115"/>
      <c r="L8" s="115"/>
      <c r="M8" s="115"/>
      <c r="N8" s="115"/>
      <c r="O8" s="115"/>
      <c r="P8" s="136"/>
      <c r="Q8" s="136"/>
      <c r="R8" s="117"/>
      <c r="S8" s="117"/>
      <c r="T8" s="118"/>
      <c r="V8" s="11">
        <v>5</v>
      </c>
      <c r="W8" s="187">
        <f>($W$6*SQRT(V8))/SQRT(3)</f>
        <v>0.51639777949432231</v>
      </c>
      <c r="X8" s="11">
        <v>0</v>
      </c>
      <c r="Y8" s="11">
        <f t="shared" si="0"/>
        <v>5</v>
      </c>
      <c r="Z8" s="187">
        <f t="shared" si="1"/>
        <v>0.51639777949432231</v>
      </c>
      <c r="AA8" s="188">
        <f t="shared" si="2"/>
        <v>0.74361280247182415</v>
      </c>
      <c r="AB8" s="188">
        <f t="shared" si="3"/>
        <v>1.2393546707863736</v>
      </c>
      <c r="AC8" s="188">
        <f t="shared" si="4"/>
        <v>2.4787093415727472</v>
      </c>
    </row>
    <row r="9" spans="1:29" x14ac:dyDescent="0.3">
      <c r="A9" s="192"/>
      <c r="B9" s="105"/>
      <c r="C9" s="105"/>
      <c r="D9" s="105"/>
      <c r="E9" s="105"/>
      <c r="F9" s="105"/>
      <c r="G9" s="105"/>
      <c r="H9" s="105"/>
      <c r="I9" s="105"/>
      <c r="J9" s="115"/>
      <c r="K9" s="115"/>
      <c r="L9" s="115"/>
      <c r="M9" s="115"/>
      <c r="N9" s="115"/>
      <c r="O9" s="115"/>
      <c r="P9" s="136"/>
      <c r="Q9" s="136"/>
      <c r="R9" s="117"/>
      <c r="S9" s="117"/>
      <c r="T9" s="118"/>
      <c r="V9" s="11">
        <v>6</v>
      </c>
      <c r="W9" s="187">
        <f>($W$6*SQRT(V9))/SQRT(3)</f>
        <v>0.56568542494923801</v>
      </c>
      <c r="X9" s="11">
        <v>0</v>
      </c>
      <c r="Y9" s="11">
        <f t="shared" si="0"/>
        <v>6</v>
      </c>
      <c r="Z9" s="187">
        <f t="shared" si="1"/>
        <v>0.56568542494923801</v>
      </c>
      <c r="AA9" s="188">
        <f t="shared" si="2"/>
        <v>0.81458701192690264</v>
      </c>
      <c r="AB9" s="188">
        <f t="shared" si="3"/>
        <v>1.3576450198781711</v>
      </c>
      <c r="AC9" s="188">
        <f t="shared" si="4"/>
        <v>2.7152900397563422</v>
      </c>
    </row>
    <row r="10" spans="1:29" x14ac:dyDescent="0.3">
      <c r="A10" s="192"/>
      <c r="B10" s="105"/>
      <c r="C10" s="105"/>
      <c r="D10" s="105"/>
      <c r="E10" s="105"/>
      <c r="F10" s="105"/>
      <c r="G10" s="105"/>
      <c r="H10" s="105"/>
      <c r="I10" s="105"/>
      <c r="J10" s="115"/>
      <c r="K10" s="115"/>
      <c r="L10" s="115"/>
      <c r="M10" s="115"/>
      <c r="N10" s="115"/>
      <c r="O10" s="115"/>
      <c r="P10" s="136"/>
      <c r="Q10" s="136"/>
      <c r="R10" s="117"/>
      <c r="S10" s="117"/>
      <c r="T10" s="118"/>
      <c r="V10" s="11">
        <v>7</v>
      </c>
      <c r="W10" s="187">
        <f>($W$6*SQRT(V10))/SQRT(3)</f>
        <v>0.61101009266077877</v>
      </c>
      <c r="X10" s="11">
        <v>0</v>
      </c>
      <c r="Y10" s="11">
        <f t="shared" si="0"/>
        <v>7</v>
      </c>
      <c r="Z10" s="187">
        <f t="shared" si="1"/>
        <v>0.61101009266077877</v>
      </c>
      <c r="AA10" s="188">
        <f t="shared" si="2"/>
        <v>0.87985453343152142</v>
      </c>
      <c r="AB10" s="188">
        <f t="shared" si="3"/>
        <v>1.466424222385869</v>
      </c>
      <c r="AC10" s="188">
        <f t="shared" si="4"/>
        <v>2.932848444771738</v>
      </c>
    </row>
    <row r="11" spans="1:29" x14ac:dyDescent="0.3">
      <c r="A11" s="192"/>
      <c r="B11" s="105"/>
      <c r="C11" s="105"/>
      <c r="D11" s="105"/>
      <c r="E11" s="105"/>
      <c r="F11" s="105"/>
      <c r="G11" s="105"/>
      <c r="H11" s="105"/>
      <c r="I11" s="105"/>
      <c r="J11" s="115"/>
      <c r="K11" s="115"/>
      <c r="L11" s="115"/>
      <c r="M11" s="115"/>
      <c r="N11" s="115"/>
      <c r="O11" s="115"/>
      <c r="P11" s="136"/>
      <c r="Q11" s="136"/>
      <c r="R11" s="117"/>
      <c r="S11" s="117"/>
      <c r="T11" s="118"/>
      <c r="V11" s="11" t="s">
        <v>251</v>
      </c>
    </row>
    <row r="12" spans="1:29" x14ac:dyDescent="0.3">
      <c r="A12" s="192"/>
      <c r="B12" s="105"/>
      <c r="C12" s="105"/>
      <c r="D12" s="105"/>
      <c r="E12" s="105"/>
      <c r="F12" s="105"/>
      <c r="G12" s="105"/>
      <c r="H12" s="105"/>
      <c r="I12" s="105"/>
      <c r="J12" s="115"/>
      <c r="K12" s="115"/>
      <c r="L12" s="115"/>
      <c r="M12" s="115"/>
      <c r="N12" s="115"/>
      <c r="O12" s="115"/>
      <c r="P12" s="136"/>
      <c r="Q12" s="136"/>
      <c r="R12" s="117"/>
      <c r="S12" s="117"/>
      <c r="T12" s="118"/>
      <c r="V12" s="11" t="s">
        <v>248</v>
      </c>
      <c r="W12" s="11" t="s">
        <v>247</v>
      </c>
      <c r="X12" s="190" t="s">
        <v>249</v>
      </c>
      <c r="Y12" s="11" t="s">
        <v>250</v>
      </c>
      <c r="Z12" s="11" t="s">
        <v>247</v>
      </c>
      <c r="AA12" s="11">
        <v>30</v>
      </c>
      <c r="AB12" s="11">
        <v>50</v>
      </c>
      <c r="AC12" s="11">
        <v>100</v>
      </c>
    </row>
    <row r="13" spans="1:29" ht="18" thickBot="1" x14ac:dyDescent="0.35">
      <c r="A13" s="115"/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36"/>
      <c r="Q13" s="136"/>
      <c r="R13" s="117"/>
      <c r="S13" s="117"/>
      <c r="V13" s="11">
        <v>1</v>
      </c>
      <c r="W13" s="187">
        <f>($W$16*SQRT(V13))/SQRT(3)</f>
        <v>0.34641016151377546</v>
      </c>
      <c r="X13" s="11">
        <v>0</v>
      </c>
      <c r="Y13" s="11">
        <f t="shared" ref="Y13:Y20" si="5">V13-X13</f>
        <v>1</v>
      </c>
      <c r="Z13" s="187">
        <f t="shared" ref="Z13:Z20" si="6">($W$16*SQRT(Y13))/SQRT(3)</f>
        <v>0.34641016151377546</v>
      </c>
      <c r="AA13" s="188">
        <f t="shared" ref="AA13:AA20" si="7">$AC13*($AA$12/100)</f>
        <v>0.49883063257983662</v>
      </c>
      <c r="AB13" s="188">
        <f t="shared" ref="AB13:AB20" si="8">$AC13*($AB$12/100)</f>
        <v>0.83138438763306111</v>
      </c>
      <c r="AC13" s="188">
        <f t="shared" ref="AC13:AC20" si="9">($Z13*60000)/($B$4*$B$5)</f>
        <v>1.6627687752661222</v>
      </c>
    </row>
    <row r="14" spans="1:29" ht="18" thickBot="1" x14ac:dyDescent="0.35">
      <c r="A14" s="463" t="s">
        <v>260</v>
      </c>
      <c r="B14" s="465" t="s">
        <v>259</v>
      </c>
      <c r="C14" s="466"/>
      <c r="D14" s="467" t="s">
        <v>261</v>
      </c>
      <c r="E14" s="468"/>
      <c r="F14" s="469" t="s">
        <v>166</v>
      </c>
      <c r="G14" s="470"/>
      <c r="H14" s="471" t="s">
        <v>167</v>
      </c>
      <c r="I14" s="472"/>
      <c r="J14" s="473" t="s">
        <v>168</v>
      </c>
      <c r="K14" s="474"/>
      <c r="L14" s="475" t="s">
        <v>169</v>
      </c>
      <c r="M14" s="476"/>
      <c r="N14" s="477" t="s">
        <v>170</v>
      </c>
      <c r="O14" s="478"/>
      <c r="P14" s="479" t="s">
        <v>171</v>
      </c>
      <c r="Q14" s="480"/>
      <c r="R14" s="461" t="s">
        <v>172</v>
      </c>
      <c r="S14" s="462"/>
      <c r="V14" s="11">
        <v>1.5</v>
      </c>
      <c r="W14" s="187">
        <f>($W$16*SQRT(V14))/SQRT(3)</f>
        <v>0.42426406871192851</v>
      </c>
      <c r="X14" s="11">
        <v>0</v>
      </c>
      <c r="Y14" s="11">
        <f t="shared" si="5"/>
        <v>1.5</v>
      </c>
      <c r="Z14" s="187">
        <f t="shared" si="6"/>
        <v>0.42426406871192851</v>
      </c>
      <c r="AA14" s="188">
        <f t="shared" si="7"/>
        <v>0.61094025894517701</v>
      </c>
      <c r="AB14" s="188">
        <f t="shared" si="8"/>
        <v>1.0182337649086284</v>
      </c>
      <c r="AC14" s="188">
        <f t="shared" si="9"/>
        <v>2.0364675298172568</v>
      </c>
    </row>
    <row r="15" spans="1:29" ht="18" thickBot="1" x14ac:dyDescent="0.35">
      <c r="A15" s="464"/>
      <c r="B15" s="203">
        <f>$B$6</f>
        <v>60</v>
      </c>
      <c r="C15" s="203">
        <v>100</v>
      </c>
      <c r="D15" s="203">
        <f>$B$6</f>
        <v>60</v>
      </c>
      <c r="E15" s="203">
        <v>100</v>
      </c>
      <c r="F15" s="203">
        <f>$B$6</f>
        <v>60</v>
      </c>
      <c r="G15" s="203">
        <v>100</v>
      </c>
      <c r="H15" s="203">
        <f>$B$6</f>
        <v>60</v>
      </c>
      <c r="I15" s="203">
        <v>100</v>
      </c>
      <c r="J15" s="203">
        <f>$B$6</f>
        <v>60</v>
      </c>
      <c r="K15" s="203">
        <v>100</v>
      </c>
      <c r="L15" s="203">
        <f>$B$6</f>
        <v>60</v>
      </c>
      <c r="M15" s="203">
        <v>100</v>
      </c>
      <c r="N15" s="203">
        <f>$B$6</f>
        <v>60</v>
      </c>
      <c r="O15" s="203">
        <v>100</v>
      </c>
      <c r="P15" s="203">
        <f>$B$6</f>
        <v>60</v>
      </c>
      <c r="Q15" s="203">
        <v>100</v>
      </c>
      <c r="R15" s="203">
        <f>$B$6</f>
        <v>60</v>
      </c>
      <c r="S15" s="203">
        <v>100</v>
      </c>
      <c r="V15" s="11">
        <v>2</v>
      </c>
      <c r="W15" s="187">
        <f>($W$16*SQRT(V15))/SQRT(3)</f>
        <v>0.48989794855663565</v>
      </c>
      <c r="X15" s="11">
        <v>0</v>
      </c>
      <c r="Y15" s="11">
        <f t="shared" si="5"/>
        <v>2</v>
      </c>
      <c r="Z15" s="187">
        <f t="shared" si="6"/>
        <v>0.48989794855663565</v>
      </c>
      <c r="AA15" s="188">
        <f t="shared" si="7"/>
        <v>0.70545304592155544</v>
      </c>
      <c r="AB15" s="188">
        <f t="shared" si="8"/>
        <v>1.1757550765359257</v>
      </c>
      <c r="AC15" s="188">
        <f t="shared" si="9"/>
        <v>2.3515101530718514</v>
      </c>
    </row>
    <row r="16" spans="1:29" x14ac:dyDescent="0.3">
      <c r="A16" s="199">
        <v>1</v>
      </c>
      <c r="B16" s="196">
        <f t="shared" ref="B16:B23" si="10">C16*(B$15/100)</f>
        <v>0.66510751010644886</v>
      </c>
      <c r="C16" s="196">
        <f t="shared" ref="C16:C23" si="11">AC3</f>
        <v>1.1085125168440815</v>
      </c>
      <c r="D16" s="196">
        <f t="shared" ref="D16:D23" si="12">E16*(D$15/100)</f>
        <v>0.99766126515967324</v>
      </c>
      <c r="E16" s="196">
        <f>AC13</f>
        <v>1.6627687752661222</v>
      </c>
      <c r="F16" s="196">
        <f t="shared" ref="F16:F23" si="13">G16*(F$15/100)</f>
        <v>1.3302150202128977</v>
      </c>
      <c r="G16" s="196">
        <f>AC24</f>
        <v>2.2170250336881629</v>
      </c>
      <c r="H16" s="196">
        <f t="shared" ref="H16:H23" si="14">I16*(H$15/100)</f>
        <v>1.6627687752661224</v>
      </c>
      <c r="I16" s="196">
        <f>AC35</f>
        <v>2.7712812921102041</v>
      </c>
      <c r="J16" s="196">
        <f t="shared" ref="J16:J23" si="15">K16*(J$15/100)</f>
        <v>1.8929291587378541</v>
      </c>
      <c r="K16" s="196">
        <f t="shared" ref="K16:K23" si="16">AC46</f>
        <v>3.1548819312297569</v>
      </c>
      <c r="L16" s="196">
        <f t="shared" ref="L16:L23" si="17">M16*(L$15/100)</f>
        <v>2.5239055449838061</v>
      </c>
      <c r="M16" s="196">
        <f t="shared" ref="M16:M23" si="18">AC57</f>
        <v>4.2065092416396768</v>
      </c>
      <c r="N16" s="196">
        <f t="shared" ref="N16:N23" si="19">O16*(N$15/100)</f>
        <v>2.9744512098872966</v>
      </c>
      <c r="O16" s="196">
        <f t="shared" ref="O16:O23" si="20">AC68</f>
        <v>4.9574186831454945</v>
      </c>
      <c r="P16" s="196">
        <f t="shared" ref="P16:P23" si="21">Q16*(P$15/100)</f>
        <v>3.5693414518647546</v>
      </c>
      <c r="Q16" s="196">
        <f t="shared" ref="Q16:Q23" si="22">AC79</f>
        <v>5.9489024197745914</v>
      </c>
      <c r="R16" s="196">
        <f t="shared" ref="R16:R23" si="23">S16*(R$15/100)</f>
        <v>4.4517509364293968</v>
      </c>
      <c r="S16" s="196">
        <f t="shared" ref="S16:S23" si="24">AC90</f>
        <v>7.4195848940489944</v>
      </c>
      <c r="V16" s="11">
        <v>3</v>
      </c>
      <c r="W16" s="191">
        <v>0.6</v>
      </c>
      <c r="X16" s="11">
        <v>0</v>
      </c>
      <c r="Y16" s="11">
        <f t="shared" si="5"/>
        <v>3</v>
      </c>
      <c r="Z16" s="187">
        <f t="shared" si="6"/>
        <v>0.6</v>
      </c>
      <c r="AA16" s="188">
        <f t="shared" si="7"/>
        <v>0.86399999999999999</v>
      </c>
      <c r="AB16" s="188">
        <f t="shared" si="8"/>
        <v>1.44</v>
      </c>
      <c r="AC16" s="188">
        <f t="shared" si="9"/>
        <v>2.88</v>
      </c>
    </row>
    <row r="17" spans="1:29" x14ac:dyDescent="0.3">
      <c r="A17" s="200">
        <v>1.5</v>
      </c>
      <c r="B17" s="197">
        <f t="shared" si="10"/>
        <v>0.81458701192690264</v>
      </c>
      <c r="C17" s="197">
        <f t="shared" si="11"/>
        <v>1.3576450198781711</v>
      </c>
      <c r="D17" s="197">
        <f t="shared" si="12"/>
        <v>1.221880517890354</v>
      </c>
      <c r="E17" s="197">
        <f t="shared" ref="E17:E23" si="25">AC14</f>
        <v>2.0364675298172568</v>
      </c>
      <c r="F17" s="197">
        <f t="shared" si="13"/>
        <v>1.6291740238538053</v>
      </c>
      <c r="G17" s="197">
        <f t="shared" ref="G17:G23" si="26">AC25</f>
        <v>2.7152900397563422</v>
      </c>
      <c r="H17" s="197">
        <f t="shared" si="14"/>
        <v>1.9674145470642432</v>
      </c>
      <c r="I17" s="197">
        <f t="shared" ref="I17:I23" si="27">AC36</f>
        <v>3.2790242451070721</v>
      </c>
      <c r="J17" s="197">
        <f t="shared" si="15"/>
        <v>2.3608974564770917</v>
      </c>
      <c r="K17" s="197">
        <f t="shared" si="16"/>
        <v>3.934829094128486</v>
      </c>
      <c r="L17" s="197">
        <f t="shared" si="17"/>
        <v>3.1478632753027891</v>
      </c>
      <c r="M17" s="197">
        <f t="shared" si="18"/>
        <v>5.2464387921713156</v>
      </c>
      <c r="N17" s="197">
        <f t="shared" si="19"/>
        <v>3.7916961903612485</v>
      </c>
      <c r="O17" s="197">
        <f t="shared" si="20"/>
        <v>6.3194936506020811</v>
      </c>
      <c r="P17" s="197">
        <f t="shared" si="21"/>
        <v>4.5500354284334978</v>
      </c>
      <c r="Q17" s="197">
        <f t="shared" si="22"/>
        <v>7.5833923807224961</v>
      </c>
      <c r="R17" s="197">
        <f t="shared" si="23"/>
        <v>5.8287101832223573</v>
      </c>
      <c r="S17" s="197">
        <f t="shared" si="24"/>
        <v>9.7145169720372628</v>
      </c>
      <c r="V17" s="11">
        <v>4</v>
      </c>
      <c r="W17" s="187">
        <f>($W$16*SQRT(V17))/SQRT(3)</f>
        <v>0.69282032302755092</v>
      </c>
      <c r="X17" s="11">
        <v>0.1</v>
      </c>
      <c r="Y17" s="11">
        <f t="shared" si="5"/>
        <v>3.9</v>
      </c>
      <c r="Z17" s="187">
        <f t="shared" si="6"/>
        <v>0.68410525505948272</v>
      </c>
      <c r="AA17" s="188">
        <f t="shared" si="7"/>
        <v>0.98511156728565497</v>
      </c>
      <c r="AB17" s="188">
        <f t="shared" si="8"/>
        <v>1.6418526121427583</v>
      </c>
      <c r="AC17" s="188">
        <f t="shared" si="9"/>
        <v>3.2837052242855167</v>
      </c>
    </row>
    <row r="18" spans="1:29" x14ac:dyDescent="0.3">
      <c r="A18" s="200">
        <v>2</v>
      </c>
      <c r="B18" s="197">
        <f t="shared" si="10"/>
        <v>0.94060406122874063</v>
      </c>
      <c r="C18" s="197">
        <f t="shared" si="11"/>
        <v>1.5676734353812345</v>
      </c>
      <c r="D18" s="197">
        <f t="shared" si="12"/>
        <v>1.4109060918431109</v>
      </c>
      <c r="E18" s="197">
        <f t="shared" si="25"/>
        <v>2.3515101530718514</v>
      </c>
      <c r="F18" s="197">
        <f t="shared" si="13"/>
        <v>1.8812081224574813</v>
      </c>
      <c r="G18" s="197">
        <f t="shared" si="26"/>
        <v>3.135346870762469</v>
      </c>
      <c r="H18" s="197">
        <f t="shared" si="14"/>
        <v>2.2919685861721577</v>
      </c>
      <c r="I18" s="197">
        <f t="shared" si="27"/>
        <v>3.8199476436202628</v>
      </c>
      <c r="J18" s="197">
        <f t="shared" si="15"/>
        <v>2.7503623034065892</v>
      </c>
      <c r="K18" s="197">
        <f t="shared" si="16"/>
        <v>4.5839371723443154</v>
      </c>
      <c r="L18" s="197">
        <f t="shared" si="17"/>
        <v>3.6671497378754525</v>
      </c>
      <c r="M18" s="197">
        <f t="shared" si="18"/>
        <v>6.1119162297924214</v>
      </c>
      <c r="N18" s="197">
        <f t="shared" si="19"/>
        <v>4.4616768148309447</v>
      </c>
      <c r="O18" s="197">
        <f t="shared" si="20"/>
        <v>7.4361280247182409</v>
      </c>
      <c r="P18" s="197">
        <f t="shared" si="21"/>
        <v>5.2031645755251672</v>
      </c>
      <c r="Q18" s="197">
        <f t="shared" si="22"/>
        <v>8.6719409592086123</v>
      </c>
      <c r="R18" s="197">
        <f t="shared" si="23"/>
        <v>6.7304147866234816</v>
      </c>
      <c r="S18" s="197">
        <f t="shared" si="24"/>
        <v>11.217357977705802</v>
      </c>
      <c r="V18" s="11">
        <v>5</v>
      </c>
      <c r="W18" s="187">
        <f>($W$16*SQRT(V18))/SQRT(3)</f>
        <v>0.7745966692414834</v>
      </c>
      <c r="X18" s="11">
        <v>0.1</v>
      </c>
      <c r="Y18" s="11">
        <f t="shared" si="5"/>
        <v>4.9000000000000004</v>
      </c>
      <c r="Z18" s="187">
        <f t="shared" si="6"/>
        <v>0.76681158050723264</v>
      </c>
      <c r="AA18" s="188">
        <f t="shared" si="7"/>
        <v>1.1042086759304151</v>
      </c>
      <c r="AB18" s="188">
        <f t="shared" si="8"/>
        <v>1.8403477932173584</v>
      </c>
      <c r="AC18" s="188">
        <f t="shared" si="9"/>
        <v>3.6806955864347168</v>
      </c>
    </row>
    <row r="19" spans="1:29" x14ac:dyDescent="0.3">
      <c r="A19" s="200">
        <v>3</v>
      </c>
      <c r="B19" s="197">
        <f t="shared" si="10"/>
        <v>1.1519999999999999</v>
      </c>
      <c r="C19" s="197">
        <f t="shared" si="11"/>
        <v>1.92</v>
      </c>
      <c r="D19" s="197">
        <f t="shared" si="12"/>
        <v>1.728</v>
      </c>
      <c r="E19" s="197">
        <f t="shared" si="25"/>
        <v>2.88</v>
      </c>
      <c r="F19" s="197">
        <f t="shared" si="13"/>
        <v>2.2652745528964036</v>
      </c>
      <c r="G19" s="197">
        <f t="shared" si="26"/>
        <v>3.7754575881606729</v>
      </c>
      <c r="H19" s="197">
        <f t="shared" si="14"/>
        <v>2.8315931911205037</v>
      </c>
      <c r="I19" s="197">
        <f t="shared" si="27"/>
        <v>4.7193219852008399</v>
      </c>
      <c r="J19" s="197">
        <f t="shared" si="15"/>
        <v>3.3979118293446047</v>
      </c>
      <c r="K19" s="197">
        <f t="shared" si="16"/>
        <v>5.6631863822410082</v>
      </c>
      <c r="L19" s="197">
        <f t="shared" si="17"/>
        <v>4.4517509364293968</v>
      </c>
      <c r="M19" s="197">
        <f t="shared" si="18"/>
        <v>7.4195848940489944</v>
      </c>
      <c r="N19" s="197">
        <f t="shared" si="19"/>
        <v>5.4644157967709601</v>
      </c>
      <c r="O19" s="197">
        <f t="shared" si="20"/>
        <v>9.1073596612849332</v>
      </c>
      <c r="P19" s="197">
        <f t="shared" si="21"/>
        <v>6.4347218121687275</v>
      </c>
      <c r="Q19" s="197">
        <f t="shared" si="22"/>
        <v>10.724536353614546</v>
      </c>
      <c r="R19" s="197">
        <f t="shared" si="23"/>
        <v>8.2430409922552261</v>
      </c>
      <c r="S19" s="197">
        <f t="shared" si="24"/>
        <v>13.738401653758711</v>
      </c>
      <c r="V19" s="11">
        <v>6</v>
      </c>
      <c r="W19" s="187">
        <f>($W$16*SQRT(V19))/SQRT(3)</f>
        <v>0.84852813742385702</v>
      </c>
      <c r="X19" s="11">
        <v>0.1</v>
      </c>
      <c r="Y19" s="11">
        <f t="shared" si="5"/>
        <v>5.9</v>
      </c>
      <c r="Z19" s="187">
        <f t="shared" si="6"/>
        <v>0.84142735871850516</v>
      </c>
      <c r="AA19" s="188">
        <f t="shared" si="7"/>
        <v>1.2116553965546475</v>
      </c>
      <c r="AB19" s="188">
        <f t="shared" si="8"/>
        <v>2.0194256609244126</v>
      </c>
      <c r="AC19" s="188">
        <f t="shared" si="9"/>
        <v>4.0388513218488251</v>
      </c>
    </row>
    <row r="20" spans="1:29" x14ac:dyDescent="0.3">
      <c r="A20" s="200">
        <v>4</v>
      </c>
      <c r="B20" s="197">
        <f t="shared" si="10"/>
        <v>1.3302150202128977</v>
      </c>
      <c r="C20" s="197">
        <f t="shared" si="11"/>
        <v>2.2170250336881629</v>
      </c>
      <c r="D20" s="197">
        <f t="shared" si="12"/>
        <v>1.9702231345713099</v>
      </c>
      <c r="E20" s="197">
        <f t="shared" si="25"/>
        <v>3.2837052242855167</v>
      </c>
      <c r="F20" s="197">
        <f t="shared" si="13"/>
        <v>2.626964179428414</v>
      </c>
      <c r="G20" s="197">
        <f t="shared" si="26"/>
        <v>4.3782736323806901</v>
      </c>
      <c r="H20" s="197">
        <f t="shared" si="14"/>
        <v>3.2837052242855176</v>
      </c>
      <c r="I20" s="197">
        <f t="shared" si="27"/>
        <v>5.4728420404758626</v>
      </c>
      <c r="J20" s="197">
        <f t="shared" si="15"/>
        <v>3.9404462691426199</v>
      </c>
      <c r="K20" s="197">
        <f t="shared" si="16"/>
        <v>6.5674104485710334</v>
      </c>
      <c r="L20" s="197">
        <f t="shared" si="17"/>
        <v>5.1861328945564056</v>
      </c>
      <c r="M20" s="197">
        <f t="shared" si="18"/>
        <v>8.6435548242606757</v>
      </c>
      <c r="N20" s="197">
        <f t="shared" si="19"/>
        <v>6.3967991995997515</v>
      </c>
      <c r="O20" s="197">
        <f t="shared" si="20"/>
        <v>10.661331999332919</v>
      </c>
      <c r="P20" s="197">
        <f t="shared" si="21"/>
        <v>7.465813284565856</v>
      </c>
      <c r="Q20" s="197">
        <f t="shared" si="22"/>
        <v>12.443022140943095</v>
      </c>
      <c r="R20" s="197">
        <f t="shared" si="23"/>
        <v>9.5182438716393474</v>
      </c>
      <c r="S20" s="197">
        <f t="shared" si="24"/>
        <v>15.86373978606558</v>
      </c>
      <c r="V20" s="11">
        <v>7</v>
      </c>
      <c r="W20" s="187">
        <f>($W$16*SQRT(V20))/SQRT(3)</f>
        <v>0.9165151389911681</v>
      </c>
      <c r="X20" s="11">
        <v>0.1</v>
      </c>
      <c r="Y20" s="11">
        <f t="shared" si="5"/>
        <v>6.9</v>
      </c>
      <c r="Z20" s="187">
        <f t="shared" si="6"/>
        <v>0.90994505328618613</v>
      </c>
      <c r="AA20" s="188">
        <f t="shared" si="7"/>
        <v>1.310320876732108</v>
      </c>
      <c r="AB20" s="188">
        <f t="shared" si="8"/>
        <v>2.1838681278868468</v>
      </c>
      <c r="AC20" s="188">
        <f t="shared" si="9"/>
        <v>4.3677362557736936</v>
      </c>
    </row>
    <row r="21" spans="1:29" x14ac:dyDescent="0.3">
      <c r="A21" s="200">
        <v>5</v>
      </c>
      <c r="B21" s="197">
        <f t="shared" si="10"/>
        <v>1.4872256049436483</v>
      </c>
      <c r="C21" s="197">
        <f t="shared" si="11"/>
        <v>2.4787093415727472</v>
      </c>
      <c r="D21" s="197">
        <f t="shared" si="12"/>
        <v>2.2084173518608301</v>
      </c>
      <c r="E21" s="197">
        <f t="shared" si="25"/>
        <v>3.6806955864347168</v>
      </c>
      <c r="F21" s="197">
        <f t="shared" si="13"/>
        <v>2.944556469147773</v>
      </c>
      <c r="G21" s="197">
        <f t="shared" si="26"/>
        <v>4.9075941152462885</v>
      </c>
      <c r="H21" s="197">
        <f t="shared" si="14"/>
        <v>3.6806955864347159</v>
      </c>
      <c r="I21" s="197">
        <f t="shared" si="27"/>
        <v>6.1344926440578602</v>
      </c>
      <c r="J21" s="197">
        <f t="shared" si="15"/>
        <v>4.3715326374167667</v>
      </c>
      <c r="K21" s="197">
        <f t="shared" si="16"/>
        <v>7.2858877290279453</v>
      </c>
      <c r="L21" s="197">
        <f t="shared" si="17"/>
        <v>5.7676748868153096</v>
      </c>
      <c r="M21" s="197">
        <f t="shared" si="18"/>
        <v>9.6127914780255157</v>
      </c>
      <c r="N21" s="197">
        <f t="shared" si="19"/>
        <v>7.1324834384665783</v>
      </c>
      <c r="O21" s="197">
        <f t="shared" si="20"/>
        <v>11.887472397444297</v>
      </c>
      <c r="P21" s="197">
        <f t="shared" si="21"/>
        <v>8.3708476990087455</v>
      </c>
      <c r="Q21" s="197">
        <f t="shared" si="22"/>
        <v>13.951412831681244</v>
      </c>
      <c r="R21" s="197">
        <f t="shared" si="23"/>
        <v>10.641720161703182</v>
      </c>
      <c r="S21" s="197">
        <f t="shared" si="24"/>
        <v>17.736200269505304</v>
      </c>
    </row>
    <row r="22" spans="1:29" x14ac:dyDescent="0.3">
      <c r="A22" s="200">
        <v>6</v>
      </c>
      <c r="B22" s="197">
        <f t="shared" si="10"/>
        <v>1.6291740238538053</v>
      </c>
      <c r="C22" s="197">
        <f t="shared" si="11"/>
        <v>2.7152900397563422</v>
      </c>
      <c r="D22" s="197">
        <f t="shared" si="12"/>
        <v>2.423310793109295</v>
      </c>
      <c r="E22" s="197">
        <f t="shared" si="25"/>
        <v>4.0388513218488251</v>
      </c>
      <c r="F22" s="197">
        <f t="shared" si="13"/>
        <v>3.2310810574790603</v>
      </c>
      <c r="G22" s="197">
        <f t="shared" si="26"/>
        <v>5.3851350957984341</v>
      </c>
      <c r="H22" s="197">
        <f t="shared" si="14"/>
        <v>4.0044774940059282</v>
      </c>
      <c r="I22" s="197">
        <f t="shared" si="27"/>
        <v>6.6741291566765479</v>
      </c>
      <c r="J22" s="197">
        <f t="shared" si="15"/>
        <v>4.8053729928071149</v>
      </c>
      <c r="K22" s="197">
        <f t="shared" si="16"/>
        <v>8.0089549880118582</v>
      </c>
      <c r="L22" s="197">
        <f t="shared" si="17"/>
        <v>6.3516896649631747</v>
      </c>
      <c r="M22" s="197">
        <f t="shared" si="18"/>
        <v>10.586149441605292</v>
      </c>
      <c r="N22" s="197">
        <f t="shared" si="19"/>
        <v>7.7990768684505225</v>
      </c>
      <c r="O22" s="197">
        <f t="shared" si="20"/>
        <v>12.998461447417538</v>
      </c>
      <c r="P22" s="197">
        <f t="shared" si="21"/>
        <v>9.1871548588232681</v>
      </c>
      <c r="Q22" s="197">
        <f t="shared" si="22"/>
        <v>15.311924764705447</v>
      </c>
      <c r="R22" s="197">
        <f t="shared" si="23"/>
        <v>11.657420366444715</v>
      </c>
      <c r="S22" s="197">
        <f t="shared" si="24"/>
        <v>19.429033944074526</v>
      </c>
      <c r="V22" s="11" t="s">
        <v>252</v>
      </c>
    </row>
    <row r="23" spans="1:29" ht="18" thickBot="1" x14ac:dyDescent="0.35">
      <c r="A23" s="201">
        <v>7</v>
      </c>
      <c r="B23" s="198">
        <f t="shared" si="10"/>
        <v>1.7597090668630428</v>
      </c>
      <c r="C23" s="198">
        <f t="shared" si="11"/>
        <v>2.932848444771738</v>
      </c>
      <c r="D23" s="198">
        <f t="shared" si="12"/>
        <v>2.6206417534642159</v>
      </c>
      <c r="E23" s="198">
        <f t="shared" si="25"/>
        <v>4.3677362557736936</v>
      </c>
      <c r="F23" s="198">
        <f t="shared" si="13"/>
        <v>3.494189004618955</v>
      </c>
      <c r="G23" s="198">
        <f t="shared" si="26"/>
        <v>5.8236483410315918</v>
      </c>
      <c r="H23" s="198">
        <f t="shared" si="14"/>
        <v>4.3359704796043061</v>
      </c>
      <c r="I23" s="198">
        <f t="shared" si="27"/>
        <v>7.2266174660071778</v>
      </c>
      <c r="J23" s="198">
        <f t="shared" si="15"/>
        <v>5.2031645755251672</v>
      </c>
      <c r="K23" s="198">
        <f t="shared" si="16"/>
        <v>8.6719409592086123</v>
      </c>
      <c r="L23" s="198">
        <f t="shared" si="17"/>
        <v>6.8347685257073634</v>
      </c>
      <c r="M23" s="198">
        <f t="shared" si="18"/>
        <v>11.391280876178939</v>
      </c>
      <c r="N23" s="198">
        <f t="shared" si="19"/>
        <v>8.4130184832793518</v>
      </c>
      <c r="O23" s="198">
        <f t="shared" si="20"/>
        <v>14.021697472132253</v>
      </c>
      <c r="P23" s="198">
        <f t="shared" si="21"/>
        <v>9.9366260672322788</v>
      </c>
      <c r="Q23" s="198">
        <f t="shared" si="22"/>
        <v>16.561043445387131</v>
      </c>
      <c r="R23" s="198">
        <f t="shared" si="23"/>
        <v>12.591453101211156</v>
      </c>
      <c r="S23" s="198">
        <f t="shared" si="24"/>
        <v>20.985755168685262</v>
      </c>
      <c r="V23" s="11" t="s">
        <v>248</v>
      </c>
      <c r="W23" s="11" t="s">
        <v>247</v>
      </c>
      <c r="X23" s="190" t="s">
        <v>249</v>
      </c>
      <c r="Y23" s="11" t="s">
        <v>250</v>
      </c>
      <c r="Z23" s="11" t="s">
        <v>247</v>
      </c>
      <c r="AA23" s="11">
        <v>30</v>
      </c>
      <c r="AB23" s="11">
        <v>50</v>
      </c>
      <c r="AC23" s="11">
        <v>100</v>
      </c>
    </row>
    <row r="24" spans="1:29" x14ac:dyDescent="0.3">
      <c r="F24" s="187"/>
      <c r="G24" s="187"/>
      <c r="L24" s="187"/>
      <c r="M24" s="187"/>
      <c r="N24" s="188"/>
      <c r="O24" s="188"/>
      <c r="P24" s="188"/>
      <c r="Q24" s="188"/>
      <c r="R24" s="188"/>
      <c r="S24" s="188"/>
      <c r="V24" s="11">
        <v>1</v>
      </c>
      <c r="W24" s="187">
        <f>($W$27*SQRT(V24))/SQRT(3)</f>
        <v>0.46188021535170065</v>
      </c>
      <c r="X24" s="11">
        <v>0</v>
      </c>
      <c r="Y24" s="11">
        <f t="shared" ref="Y24:Y31" si="28">V24-X24</f>
        <v>1</v>
      </c>
      <c r="Z24" s="187">
        <f t="shared" ref="Z24:Z31" si="29">($W$27*SQRT(Y24))/SQRT(3)</f>
        <v>0.46188021535170065</v>
      </c>
      <c r="AA24" s="188">
        <f>$AC24*($AA$23/100)</f>
        <v>0.66510751010644886</v>
      </c>
      <c r="AB24" s="188">
        <f>$AC24*($AB$23/100)</f>
        <v>1.1085125168440815</v>
      </c>
      <c r="AC24" s="188">
        <f t="shared" ref="AC24:AC31" si="30">($Z24*60000)/($B$4*$B$5)</f>
        <v>2.2170250336881629</v>
      </c>
    </row>
    <row r="25" spans="1:29" x14ac:dyDescent="0.3">
      <c r="F25" s="187"/>
      <c r="G25" s="187"/>
      <c r="L25" s="187"/>
      <c r="M25" s="187"/>
      <c r="N25" s="188"/>
      <c r="O25" s="188"/>
      <c r="P25" s="188"/>
      <c r="Q25" s="188"/>
      <c r="R25" s="189"/>
      <c r="S25" s="189"/>
      <c r="V25" s="11">
        <v>1.5</v>
      </c>
      <c r="W25" s="187">
        <f>($W$27*SQRT(V25))/SQRT(3)</f>
        <v>0.56568542494923801</v>
      </c>
      <c r="X25" s="11">
        <v>0</v>
      </c>
      <c r="Y25" s="11">
        <f t="shared" si="28"/>
        <v>1.5</v>
      </c>
      <c r="Z25" s="187">
        <f t="shared" si="29"/>
        <v>0.56568542494923801</v>
      </c>
      <c r="AA25" s="188">
        <f t="shared" ref="AA25:AA31" si="31">$AC25*($AA$23/100)</f>
        <v>0.81458701192690264</v>
      </c>
      <c r="AB25" s="188">
        <f t="shared" ref="AB25:AB31" si="32">$AC25*($AB$23/100)</f>
        <v>1.3576450198781711</v>
      </c>
      <c r="AC25" s="188">
        <f t="shared" si="30"/>
        <v>2.7152900397563422</v>
      </c>
    </row>
    <row r="26" spans="1:29" x14ac:dyDescent="0.3">
      <c r="F26" s="187"/>
      <c r="G26" s="187"/>
      <c r="L26" s="187"/>
      <c r="M26" s="187"/>
      <c r="N26" s="188"/>
      <c r="O26" s="188"/>
      <c r="P26" s="188"/>
      <c r="Q26" s="188"/>
      <c r="R26" s="189"/>
      <c r="S26" s="189"/>
      <c r="V26" s="11">
        <v>2</v>
      </c>
      <c r="W26" s="187">
        <f>($W$27*SQRT(V26))/SQRT(3)</f>
        <v>0.65319726474218098</v>
      </c>
      <c r="X26" s="11">
        <v>0</v>
      </c>
      <c r="Y26" s="11">
        <f t="shared" si="28"/>
        <v>2</v>
      </c>
      <c r="Z26" s="187">
        <f t="shared" si="29"/>
        <v>0.65319726474218098</v>
      </c>
      <c r="AA26" s="188">
        <f t="shared" si="31"/>
        <v>0.94060406122874063</v>
      </c>
      <c r="AB26" s="188">
        <f t="shared" si="32"/>
        <v>1.5676734353812345</v>
      </c>
      <c r="AC26" s="188">
        <f t="shared" si="30"/>
        <v>3.135346870762469</v>
      </c>
    </row>
    <row r="27" spans="1:29" x14ac:dyDescent="0.3">
      <c r="F27" s="187"/>
      <c r="G27" s="187"/>
      <c r="L27" s="187"/>
      <c r="M27" s="187"/>
      <c r="N27" s="188"/>
      <c r="O27" s="188"/>
      <c r="P27" s="188"/>
      <c r="Q27" s="188"/>
      <c r="R27" s="189"/>
      <c r="S27" s="189"/>
      <c r="V27" s="11">
        <v>3</v>
      </c>
      <c r="W27" s="191">
        <v>0.8</v>
      </c>
      <c r="X27" s="11">
        <v>0.1</v>
      </c>
      <c r="Y27" s="11">
        <f t="shared" si="28"/>
        <v>2.9</v>
      </c>
      <c r="Z27" s="187">
        <f t="shared" si="29"/>
        <v>0.78655366420014017</v>
      </c>
      <c r="AA27" s="188">
        <f t="shared" si="31"/>
        <v>1.1326372764482018</v>
      </c>
      <c r="AB27" s="188">
        <f t="shared" si="32"/>
        <v>1.8877287940803364</v>
      </c>
      <c r="AC27" s="188">
        <f t="shared" si="30"/>
        <v>3.7754575881606729</v>
      </c>
    </row>
    <row r="28" spans="1:29" x14ac:dyDescent="0.3">
      <c r="L28" s="187"/>
      <c r="M28" s="187"/>
      <c r="N28" s="188"/>
      <c r="O28" s="188"/>
      <c r="P28" s="188"/>
      <c r="Q28" s="188"/>
      <c r="R28" s="189"/>
      <c r="S28" s="189"/>
      <c r="V28" s="11">
        <v>4</v>
      </c>
      <c r="W28" s="187">
        <f>($W$27*SQRT(V28))/SQRT(3)</f>
        <v>0.9237604307034013</v>
      </c>
      <c r="X28" s="11">
        <v>0.1</v>
      </c>
      <c r="Y28" s="11">
        <f t="shared" si="28"/>
        <v>3.9</v>
      </c>
      <c r="Z28" s="187">
        <f t="shared" si="29"/>
        <v>0.91214034007931055</v>
      </c>
      <c r="AA28" s="188">
        <f t="shared" si="31"/>
        <v>1.313482089714207</v>
      </c>
      <c r="AB28" s="188">
        <f t="shared" si="32"/>
        <v>2.1891368161903451</v>
      </c>
      <c r="AC28" s="188">
        <f t="shared" si="30"/>
        <v>4.3782736323806901</v>
      </c>
    </row>
    <row r="29" spans="1:29" x14ac:dyDescent="0.3">
      <c r="V29" s="11">
        <v>5</v>
      </c>
      <c r="W29" s="187">
        <f>($W$27*SQRT(V29))/SQRT(3)</f>
        <v>1.0327955589886446</v>
      </c>
      <c r="X29" s="11">
        <v>0.1</v>
      </c>
      <c r="Y29" s="11">
        <f t="shared" si="28"/>
        <v>4.9000000000000004</v>
      </c>
      <c r="Z29" s="187">
        <f t="shared" si="29"/>
        <v>1.0224154406763102</v>
      </c>
      <c r="AA29" s="188">
        <f t="shared" si="31"/>
        <v>1.4722782345738865</v>
      </c>
      <c r="AB29" s="188">
        <f t="shared" si="32"/>
        <v>2.4537970576231443</v>
      </c>
      <c r="AC29" s="188">
        <f t="shared" si="30"/>
        <v>4.9075941152462885</v>
      </c>
    </row>
    <row r="30" spans="1:29" x14ac:dyDescent="0.3">
      <c r="V30" s="11">
        <v>6</v>
      </c>
      <c r="W30" s="187">
        <f>($W$27*SQRT(V30))/SQRT(3)</f>
        <v>1.131370849898476</v>
      </c>
      <c r="X30" s="11">
        <v>0.1</v>
      </c>
      <c r="Y30" s="11">
        <f t="shared" si="28"/>
        <v>5.9</v>
      </c>
      <c r="Z30" s="187">
        <f t="shared" si="29"/>
        <v>1.121903144958007</v>
      </c>
      <c r="AA30" s="188">
        <f t="shared" si="31"/>
        <v>1.6155405287395301</v>
      </c>
      <c r="AB30" s="188">
        <f t="shared" si="32"/>
        <v>2.692567547899217</v>
      </c>
      <c r="AC30" s="188">
        <f t="shared" si="30"/>
        <v>5.3851350957984341</v>
      </c>
    </row>
    <row r="31" spans="1:29" x14ac:dyDescent="0.3">
      <c r="V31" s="11">
        <v>7</v>
      </c>
      <c r="W31" s="187">
        <f>($W$27*SQRT(V31))/SQRT(3)</f>
        <v>1.2220201853215575</v>
      </c>
      <c r="X31" s="11">
        <v>0.1</v>
      </c>
      <c r="Y31" s="11">
        <f t="shared" si="28"/>
        <v>6.9</v>
      </c>
      <c r="Z31" s="187">
        <f t="shared" si="29"/>
        <v>1.2132600710482482</v>
      </c>
      <c r="AA31" s="188">
        <f t="shared" si="31"/>
        <v>1.7470945023094775</v>
      </c>
      <c r="AB31" s="188">
        <f t="shared" si="32"/>
        <v>2.9118241705157959</v>
      </c>
      <c r="AC31" s="188">
        <f t="shared" si="30"/>
        <v>5.8236483410315918</v>
      </c>
    </row>
    <row r="33" spans="1:29" x14ac:dyDescent="0.3">
      <c r="V33" s="11" t="s">
        <v>253</v>
      </c>
    </row>
    <row r="34" spans="1:29" x14ac:dyDescent="0.3">
      <c r="A34" s="115"/>
      <c r="B34" s="214"/>
      <c r="C34" s="214"/>
      <c r="D34" s="214"/>
      <c r="E34" s="214"/>
      <c r="F34" s="214"/>
      <c r="G34" s="214"/>
      <c r="H34" s="215"/>
      <c r="I34" s="215"/>
      <c r="J34" s="215"/>
      <c r="K34" s="215"/>
      <c r="L34" s="215"/>
      <c r="M34" s="215"/>
      <c r="N34" s="214"/>
      <c r="O34" s="214"/>
      <c r="P34" s="214"/>
      <c r="Q34" s="214"/>
      <c r="R34" s="214"/>
      <c r="S34" s="214"/>
      <c r="V34" s="11" t="s">
        <v>248</v>
      </c>
      <c r="W34" s="11" t="s">
        <v>247</v>
      </c>
      <c r="X34" s="190" t="s">
        <v>249</v>
      </c>
      <c r="Y34" s="11" t="s">
        <v>250</v>
      </c>
      <c r="Z34" s="11" t="s">
        <v>247</v>
      </c>
      <c r="AA34" s="11">
        <v>30</v>
      </c>
      <c r="AB34" s="11">
        <v>50</v>
      </c>
      <c r="AC34" s="11">
        <v>100</v>
      </c>
    </row>
    <row r="35" spans="1:29" x14ac:dyDescent="0.3">
      <c r="V35" s="11">
        <v>1</v>
      </c>
      <c r="W35" s="187">
        <f>($W$38*SQRT(V35))/SQRT(3)</f>
        <v>0.57735026918962584</v>
      </c>
      <c r="X35" s="11">
        <v>0</v>
      </c>
      <c r="Y35" s="11">
        <f t="shared" ref="Y35:Y42" si="33">V35-X35</f>
        <v>1</v>
      </c>
      <c r="Z35" s="187">
        <f t="shared" ref="Z35:Z42" si="34">($W$38*SQRT(Y35))/SQRT(3)</f>
        <v>0.57735026918962584</v>
      </c>
      <c r="AA35" s="188">
        <f>$AC35*($AA$34/100)</f>
        <v>0.83138438763306122</v>
      </c>
      <c r="AB35" s="188">
        <f>$AC35*($AB$34/100)</f>
        <v>1.3856406460551021</v>
      </c>
      <c r="AC35" s="188">
        <f t="shared" ref="AC35:AC42" si="35">($Z35*60000)/($B$4*$B$5)</f>
        <v>2.7712812921102041</v>
      </c>
    </row>
    <row r="36" spans="1:29" x14ac:dyDescent="0.3">
      <c r="B36" s="12"/>
      <c r="C36" s="12"/>
      <c r="D36" s="12"/>
      <c r="E36" s="12"/>
      <c r="F36" s="12"/>
      <c r="G36" s="12"/>
      <c r="V36" s="11">
        <v>1.5</v>
      </c>
      <c r="W36" s="187">
        <f>($W$38*SQRT(V36))/SQRT(3)</f>
        <v>0.70710678118654746</v>
      </c>
      <c r="X36" s="11">
        <v>0.1</v>
      </c>
      <c r="Y36" s="11">
        <f t="shared" si="33"/>
        <v>1.4</v>
      </c>
      <c r="Z36" s="187">
        <f t="shared" si="34"/>
        <v>0.68313005106397329</v>
      </c>
      <c r="AA36" s="188">
        <f t="shared" ref="AA36:AA42" si="36">$AC36*($AA$23/100)</f>
        <v>0.98370727353212162</v>
      </c>
      <c r="AB36" s="188">
        <f t="shared" ref="AB36:AB42" si="37">$AC36*($AB$23/100)</f>
        <v>1.6395121225535361</v>
      </c>
      <c r="AC36" s="188">
        <f t="shared" si="35"/>
        <v>3.2790242451070721</v>
      </c>
    </row>
    <row r="37" spans="1:29" x14ac:dyDescent="0.3">
      <c r="B37" s="12"/>
      <c r="C37" s="12"/>
      <c r="D37" s="12"/>
      <c r="E37" s="12"/>
      <c r="F37" s="12"/>
      <c r="G37" s="12"/>
      <c r="V37" s="11">
        <v>2</v>
      </c>
      <c r="W37" s="187">
        <f>($W$38*SQRT(V37))/SQRT(3)</f>
        <v>0.81649658092772615</v>
      </c>
      <c r="X37" s="11">
        <v>0.1</v>
      </c>
      <c r="Y37" s="11">
        <f t="shared" si="33"/>
        <v>1.9</v>
      </c>
      <c r="Z37" s="187">
        <f t="shared" si="34"/>
        <v>0.79582242575422146</v>
      </c>
      <c r="AA37" s="188">
        <f t="shared" si="36"/>
        <v>1.1459842930860789</v>
      </c>
      <c r="AB37" s="188">
        <f t="shared" si="37"/>
        <v>1.9099738218101314</v>
      </c>
      <c r="AC37" s="188">
        <f t="shared" si="35"/>
        <v>3.8199476436202628</v>
      </c>
    </row>
    <row r="38" spans="1:29" x14ac:dyDescent="0.3">
      <c r="B38" s="12"/>
      <c r="C38" s="12"/>
      <c r="D38" s="12"/>
      <c r="E38" s="12"/>
      <c r="F38" s="12"/>
      <c r="G38" s="12"/>
      <c r="V38" s="11">
        <v>3</v>
      </c>
      <c r="W38" s="191">
        <v>1</v>
      </c>
      <c r="X38" s="11">
        <v>0.1</v>
      </c>
      <c r="Y38" s="11">
        <f t="shared" si="33"/>
        <v>2.9</v>
      </c>
      <c r="Z38" s="187">
        <f t="shared" si="34"/>
        <v>0.98319208025017502</v>
      </c>
      <c r="AA38" s="188">
        <f t="shared" si="36"/>
        <v>1.4157965955602518</v>
      </c>
      <c r="AB38" s="188">
        <f t="shared" si="37"/>
        <v>2.3596609926004199</v>
      </c>
      <c r="AC38" s="188">
        <f t="shared" si="35"/>
        <v>4.7193219852008399</v>
      </c>
    </row>
    <row r="39" spans="1:29" x14ac:dyDescent="0.3">
      <c r="B39" s="12"/>
      <c r="C39" s="12"/>
      <c r="D39" s="12"/>
      <c r="E39" s="12"/>
      <c r="F39" s="12"/>
      <c r="G39" s="12"/>
      <c r="V39" s="11">
        <v>4</v>
      </c>
      <c r="W39" s="187">
        <f>($W$38*SQRT(V39))/SQRT(3)</f>
        <v>1.1547005383792517</v>
      </c>
      <c r="X39" s="11">
        <v>0.1</v>
      </c>
      <c r="Y39" s="11">
        <f t="shared" si="33"/>
        <v>3.9</v>
      </c>
      <c r="Z39" s="187">
        <f t="shared" si="34"/>
        <v>1.1401754250991381</v>
      </c>
      <c r="AA39" s="188">
        <f t="shared" si="36"/>
        <v>1.6418526121427588</v>
      </c>
      <c r="AB39" s="188">
        <f t="shared" si="37"/>
        <v>2.7364210202379313</v>
      </c>
      <c r="AC39" s="188">
        <f t="shared" si="35"/>
        <v>5.4728420404758626</v>
      </c>
    </row>
    <row r="40" spans="1:29" x14ac:dyDescent="0.3">
      <c r="V40" s="11">
        <v>5</v>
      </c>
      <c r="W40" s="187">
        <f>($W$38*SQRT(V40))/SQRT(3)</f>
        <v>1.2909944487358058</v>
      </c>
      <c r="X40" s="11">
        <v>0.1</v>
      </c>
      <c r="Y40" s="11">
        <f t="shared" si="33"/>
        <v>4.9000000000000004</v>
      </c>
      <c r="Z40" s="187">
        <f t="shared" si="34"/>
        <v>1.2780193008453877</v>
      </c>
      <c r="AA40" s="188">
        <f t="shared" si="36"/>
        <v>1.840347793217358</v>
      </c>
      <c r="AB40" s="188">
        <f t="shared" si="37"/>
        <v>3.0672463220289301</v>
      </c>
      <c r="AC40" s="188">
        <f t="shared" si="35"/>
        <v>6.1344926440578602</v>
      </c>
    </row>
    <row r="41" spans="1:29" x14ac:dyDescent="0.3">
      <c r="V41" s="11">
        <v>6</v>
      </c>
      <c r="W41" s="187">
        <f>($W$38*SQRT(V41))/SQRT(3)</f>
        <v>1.4142135623730949</v>
      </c>
      <c r="X41" s="11">
        <v>0.2</v>
      </c>
      <c r="Y41" s="11">
        <f t="shared" si="33"/>
        <v>5.8</v>
      </c>
      <c r="Z41" s="187">
        <f t="shared" si="34"/>
        <v>1.3904435743076142</v>
      </c>
      <c r="AA41" s="188">
        <f t="shared" si="36"/>
        <v>2.0022387470029641</v>
      </c>
      <c r="AB41" s="188">
        <f t="shared" si="37"/>
        <v>3.337064578338274</v>
      </c>
      <c r="AC41" s="188">
        <f t="shared" si="35"/>
        <v>6.6741291566765479</v>
      </c>
    </row>
    <row r="42" spans="1:29" x14ac:dyDescent="0.3">
      <c r="V42" s="11">
        <v>7</v>
      </c>
      <c r="W42" s="187">
        <f>($W$38*SQRT(V42))/SQRT(3)</f>
        <v>1.5275252316519468</v>
      </c>
      <c r="X42" s="11">
        <v>0.2</v>
      </c>
      <c r="Y42" s="11">
        <f t="shared" si="33"/>
        <v>6.8</v>
      </c>
      <c r="Z42" s="187">
        <f t="shared" si="34"/>
        <v>1.505545305418162</v>
      </c>
      <c r="AA42" s="188">
        <f t="shared" si="36"/>
        <v>2.1679852398021531</v>
      </c>
      <c r="AB42" s="188">
        <f t="shared" si="37"/>
        <v>3.6133087330035889</v>
      </c>
      <c r="AC42" s="188">
        <f t="shared" si="35"/>
        <v>7.2266174660071778</v>
      </c>
    </row>
    <row r="44" spans="1:29" x14ac:dyDescent="0.3">
      <c r="V44" s="11" t="s">
        <v>254</v>
      </c>
    </row>
    <row r="45" spans="1:29" x14ac:dyDescent="0.3">
      <c r="V45" s="11" t="s">
        <v>248</v>
      </c>
      <c r="W45" s="11" t="s">
        <v>247</v>
      </c>
      <c r="X45" s="190" t="s">
        <v>249</v>
      </c>
      <c r="Y45" s="11" t="s">
        <v>250</v>
      </c>
      <c r="Z45" s="11" t="s">
        <v>247</v>
      </c>
      <c r="AA45" s="11">
        <v>30</v>
      </c>
      <c r="AB45" s="11">
        <v>50</v>
      </c>
      <c r="AC45" s="11">
        <v>100</v>
      </c>
    </row>
    <row r="46" spans="1:29" x14ac:dyDescent="0.3">
      <c r="V46" s="11">
        <v>1</v>
      </c>
      <c r="W46" s="187">
        <f>($W$49*SQRT(V46))/SQRT(3)</f>
        <v>0.69282032302755092</v>
      </c>
      <c r="X46" s="190">
        <v>0.1</v>
      </c>
      <c r="Y46" s="11">
        <f t="shared" ref="Y46:Y53" si="38">V46-X46</f>
        <v>0.9</v>
      </c>
      <c r="Z46" s="187">
        <f t="shared" ref="Z46:Z53" si="39">($W$49*SQRT(Y46))/SQRT(3)</f>
        <v>0.65726706900619936</v>
      </c>
      <c r="AA46" s="188">
        <f t="shared" ref="AA46:AA53" si="40">$AC46*($AA$45/100)</f>
        <v>0.94646457936892703</v>
      </c>
      <c r="AB46" s="188">
        <f t="shared" ref="AB46:AB53" si="41">$AC46*($AB$45/100)</f>
        <v>1.5774409656148785</v>
      </c>
      <c r="AC46" s="188">
        <f t="shared" ref="AC46:AC53" si="42">($Z46*60000)/($B$4*$B$5)</f>
        <v>3.1548819312297569</v>
      </c>
    </row>
    <row r="47" spans="1:29" x14ac:dyDescent="0.3">
      <c r="V47" s="11">
        <v>1.5</v>
      </c>
      <c r="W47" s="187">
        <f>($W$49*SQRT(V47))/SQRT(3)</f>
        <v>0.84852813742385702</v>
      </c>
      <c r="X47" s="11">
        <v>0.1</v>
      </c>
      <c r="Y47" s="11">
        <f t="shared" si="38"/>
        <v>1.4</v>
      </c>
      <c r="Z47" s="187">
        <f t="shared" si="39"/>
        <v>0.81975606127676792</v>
      </c>
      <c r="AA47" s="188">
        <f t="shared" si="40"/>
        <v>1.1804487282385459</v>
      </c>
      <c r="AB47" s="188">
        <f t="shared" si="41"/>
        <v>1.967414547064243</v>
      </c>
      <c r="AC47" s="188">
        <f t="shared" si="42"/>
        <v>3.934829094128486</v>
      </c>
    </row>
    <row r="48" spans="1:29" x14ac:dyDescent="0.3">
      <c r="V48" s="11">
        <v>2</v>
      </c>
      <c r="W48" s="187">
        <f>($W$49*SQRT(V48))/SQRT(3)</f>
        <v>0.97979589711327131</v>
      </c>
      <c r="X48" s="11">
        <v>0.1</v>
      </c>
      <c r="Y48" s="11">
        <f t="shared" si="38"/>
        <v>1.9</v>
      </c>
      <c r="Z48" s="187">
        <f t="shared" si="39"/>
        <v>0.95498691090506571</v>
      </c>
      <c r="AA48" s="188">
        <f t="shared" si="40"/>
        <v>1.3751811517032946</v>
      </c>
      <c r="AB48" s="188">
        <f t="shared" si="41"/>
        <v>2.2919685861721577</v>
      </c>
      <c r="AC48" s="188">
        <f t="shared" si="42"/>
        <v>4.5839371723443154</v>
      </c>
    </row>
    <row r="49" spans="22:29" x14ac:dyDescent="0.3">
      <c r="V49" s="11">
        <v>3</v>
      </c>
      <c r="W49" s="191">
        <v>1.2</v>
      </c>
      <c r="X49" s="11">
        <v>0.1</v>
      </c>
      <c r="Y49" s="11">
        <f t="shared" si="38"/>
        <v>2.9</v>
      </c>
      <c r="Z49" s="187">
        <f t="shared" si="39"/>
        <v>1.17983049630021</v>
      </c>
      <c r="AA49" s="188">
        <f t="shared" si="40"/>
        <v>1.6989559146723023</v>
      </c>
      <c r="AB49" s="188">
        <f t="shared" si="41"/>
        <v>2.8315931911205041</v>
      </c>
      <c r="AC49" s="188">
        <f t="shared" si="42"/>
        <v>5.6631863822410082</v>
      </c>
    </row>
    <row r="50" spans="22:29" x14ac:dyDescent="0.3">
      <c r="V50" s="11">
        <v>4</v>
      </c>
      <c r="W50" s="187">
        <f>($W$49*SQRT(V50))/SQRT(3)</f>
        <v>1.3856406460551018</v>
      </c>
      <c r="X50" s="11">
        <v>0.1</v>
      </c>
      <c r="Y50" s="11">
        <f t="shared" si="38"/>
        <v>3.9</v>
      </c>
      <c r="Z50" s="187">
        <f t="shared" si="39"/>
        <v>1.3682105101189654</v>
      </c>
      <c r="AA50" s="188">
        <f t="shared" si="40"/>
        <v>1.9702231345713099</v>
      </c>
      <c r="AB50" s="188">
        <f t="shared" si="41"/>
        <v>3.2837052242855167</v>
      </c>
      <c r="AC50" s="188">
        <f t="shared" si="42"/>
        <v>6.5674104485710334</v>
      </c>
    </row>
    <row r="51" spans="22:29" x14ac:dyDescent="0.3">
      <c r="V51" s="11">
        <v>5</v>
      </c>
      <c r="W51" s="187">
        <f>($W$49*SQRT(V51))/SQRT(3)</f>
        <v>1.5491933384829668</v>
      </c>
      <c r="X51" s="11">
        <v>0.2</v>
      </c>
      <c r="Y51" s="11">
        <f t="shared" si="38"/>
        <v>4.8</v>
      </c>
      <c r="Z51" s="187">
        <f t="shared" si="39"/>
        <v>1.517893276880822</v>
      </c>
      <c r="AA51" s="188">
        <f t="shared" si="40"/>
        <v>2.1857663187083833</v>
      </c>
      <c r="AB51" s="188">
        <f t="shared" si="41"/>
        <v>3.6429438645139727</v>
      </c>
      <c r="AC51" s="188">
        <f t="shared" si="42"/>
        <v>7.2858877290279453</v>
      </c>
    </row>
    <row r="52" spans="22:29" x14ac:dyDescent="0.3">
      <c r="V52" s="11">
        <v>6</v>
      </c>
      <c r="W52" s="187">
        <f>($W$49*SQRT(V52))/SQRT(3)</f>
        <v>1.697056274847714</v>
      </c>
      <c r="X52" s="11">
        <v>0.2</v>
      </c>
      <c r="Y52" s="11">
        <f t="shared" si="38"/>
        <v>5.8</v>
      </c>
      <c r="Z52" s="187">
        <f t="shared" si="39"/>
        <v>1.668532289169137</v>
      </c>
      <c r="AA52" s="188">
        <f t="shared" si="40"/>
        <v>2.4026864964035575</v>
      </c>
      <c r="AB52" s="188">
        <f t="shared" si="41"/>
        <v>4.0044774940059291</v>
      </c>
      <c r="AC52" s="188">
        <f t="shared" si="42"/>
        <v>8.0089549880118582</v>
      </c>
    </row>
    <row r="53" spans="22:29" x14ac:dyDescent="0.3">
      <c r="V53" s="11">
        <v>7</v>
      </c>
      <c r="W53" s="187">
        <f>($W$49*SQRT(V53))/SQRT(3)</f>
        <v>1.8330302779823362</v>
      </c>
      <c r="X53" s="11">
        <v>0.2</v>
      </c>
      <c r="Y53" s="11">
        <f t="shared" si="38"/>
        <v>6.8</v>
      </c>
      <c r="Z53" s="187">
        <f t="shared" si="39"/>
        <v>1.8066543665017942</v>
      </c>
      <c r="AA53" s="188">
        <f t="shared" si="40"/>
        <v>2.6015822877625836</v>
      </c>
      <c r="AB53" s="188">
        <f t="shared" si="41"/>
        <v>4.3359704796043061</v>
      </c>
      <c r="AC53" s="188">
        <f t="shared" si="42"/>
        <v>8.6719409592086123</v>
      </c>
    </row>
    <row r="55" spans="22:29" x14ac:dyDescent="0.3">
      <c r="V55" s="11" t="s">
        <v>246</v>
      </c>
    </row>
    <row r="56" spans="22:29" x14ac:dyDescent="0.3">
      <c r="V56" s="11" t="s">
        <v>248</v>
      </c>
      <c r="W56" s="11" t="s">
        <v>247</v>
      </c>
      <c r="X56" s="190" t="s">
        <v>249</v>
      </c>
      <c r="Y56" s="11" t="s">
        <v>250</v>
      </c>
      <c r="Z56" s="11" t="s">
        <v>247</v>
      </c>
      <c r="AA56" s="11">
        <v>30</v>
      </c>
      <c r="AB56" s="11">
        <v>50</v>
      </c>
      <c r="AC56" s="11">
        <v>100</v>
      </c>
    </row>
    <row r="57" spans="22:29" x14ac:dyDescent="0.3">
      <c r="V57" s="11">
        <v>1</v>
      </c>
      <c r="W57" s="187">
        <f>($W$60*SQRT(V57))/SQRT(3)</f>
        <v>0.9237604307034013</v>
      </c>
      <c r="X57" s="11">
        <v>0.1</v>
      </c>
      <c r="Y57" s="11">
        <f t="shared" ref="Y57:Y64" si="43">V57-X57</f>
        <v>0.9</v>
      </c>
      <c r="Z57" s="187">
        <f t="shared" ref="Z57:Z64" si="44">($W$60*SQRT(Y57))/SQRT(3)</f>
        <v>0.87635609200826592</v>
      </c>
      <c r="AA57" s="188">
        <f t="shared" ref="AA57:AA64" si="45">$AC57*($AA$56/100)</f>
        <v>1.2619527724919031</v>
      </c>
      <c r="AB57" s="188">
        <f t="shared" ref="AB57:AB64" si="46">$AC57*($AB$56/100)</f>
        <v>2.1032546208198384</v>
      </c>
      <c r="AC57" s="188">
        <f t="shared" ref="AC57:AC64" si="47">($Z57*60000)/($B$4*$B$5)</f>
        <v>4.2065092416396768</v>
      </c>
    </row>
    <row r="58" spans="22:29" x14ac:dyDescent="0.3">
      <c r="V58" s="11">
        <v>1.5</v>
      </c>
      <c r="W58" s="187">
        <f>($W$60*SQRT(V58))/SQRT(3)</f>
        <v>1.131370849898476</v>
      </c>
      <c r="X58" s="11">
        <v>0.1</v>
      </c>
      <c r="Y58" s="11">
        <f t="shared" si="43"/>
        <v>1.4</v>
      </c>
      <c r="Z58" s="187">
        <f t="shared" si="44"/>
        <v>1.0930080817023573</v>
      </c>
      <c r="AA58" s="188">
        <f t="shared" si="45"/>
        <v>1.5739316376513945</v>
      </c>
      <c r="AB58" s="188">
        <f t="shared" si="46"/>
        <v>2.6232193960856578</v>
      </c>
      <c r="AC58" s="188">
        <f t="shared" si="47"/>
        <v>5.2464387921713156</v>
      </c>
    </row>
    <row r="59" spans="22:29" x14ac:dyDescent="0.3">
      <c r="V59" s="11">
        <v>2</v>
      </c>
      <c r="W59" s="187">
        <f>($W$60*SQRT(V59))/SQRT(3)</f>
        <v>1.306394529484362</v>
      </c>
      <c r="X59" s="11">
        <v>0.1</v>
      </c>
      <c r="Y59" s="11">
        <f t="shared" si="43"/>
        <v>1.9</v>
      </c>
      <c r="Z59" s="187">
        <f t="shared" si="44"/>
        <v>1.2733158812067544</v>
      </c>
      <c r="AA59" s="188">
        <f t="shared" si="45"/>
        <v>1.8335748689377263</v>
      </c>
      <c r="AB59" s="188">
        <f t="shared" si="46"/>
        <v>3.0559581148962107</v>
      </c>
      <c r="AC59" s="188">
        <f t="shared" si="47"/>
        <v>6.1119162297924214</v>
      </c>
    </row>
    <row r="60" spans="22:29" x14ac:dyDescent="0.3">
      <c r="V60" s="11">
        <v>3</v>
      </c>
      <c r="W60" s="191">
        <v>1.6</v>
      </c>
      <c r="X60" s="11">
        <v>0.2</v>
      </c>
      <c r="Y60" s="11">
        <f t="shared" si="43"/>
        <v>2.8</v>
      </c>
      <c r="Z60" s="187">
        <f t="shared" si="44"/>
        <v>1.5457468529268739</v>
      </c>
      <c r="AA60" s="188">
        <f t="shared" si="45"/>
        <v>2.2258754682146984</v>
      </c>
      <c r="AB60" s="188">
        <f t="shared" si="46"/>
        <v>3.7097924470244972</v>
      </c>
      <c r="AC60" s="188">
        <f t="shared" si="47"/>
        <v>7.4195848940489944</v>
      </c>
    </row>
    <row r="61" spans="22:29" x14ac:dyDescent="0.3">
      <c r="V61" s="11">
        <v>4</v>
      </c>
      <c r="W61" s="187">
        <f>($W$60*SQRT(V61))/SQRT(3)</f>
        <v>1.8475208614068026</v>
      </c>
      <c r="X61" s="11">
        <v>0.2</v>
      </c>
      <c r="Y61" s="11">
        <f t="shared" si="43"/>
        <v>3.8</v>
      </c>
      <c r="Z61" s="187">
        <f t="shared" si="44"/>
        <v>1.8007405883876408</v>
      </c>
      <c r="AA61" s="188">
        <f t="shared" si="45"/>
        <v>2.5930664472782028</v>
      </c>
      <c r="AB61" s="188">
        <f t="shared" si="46"/>
        <v>4.3217774121303378</v>
      </c>
      <c r="AC61" s="188">
        <f t="shared" si="47"/>
        <v>8.6435548242606757</v>
      </c>
    </row>
    <row r="62" spans="22:29" x14ac:dyDescent="0.3">
      <c r="V62" s="11">
        <v>5</v>
      </c>
      <c r="W62" s="187">
        <f>($W$60*SQRT(V62))/SQRT(3)</f>
        <v>2.0655911179772892</v>
      </c>
      <c r="X62" s="11">
        <v>0.3</v>
      </c>
      <c r="Y62" s="11">
        <f t="shared" si="43"/>
        <v>4.7</v>
      </c>
      <c r="Z62" s="187">
        <f t="shared" si="44"/>
        <v>2.002664891255316</v>
      </c>
      <c r="AA62" s="188">
        <f t="shared" si="45"/>
        <v>2.8838374434076548</v>
      </c>
      <c r="AB62" s="188">
        <f t="shared" si="46"/>
        <v>4.8063957390127579</v>
      </c>
      <c r="AC62" s="188">
        <f t="shared" si="47"/>
        <v>9.6127914780255157</v>
      </c>
    </row>
    <row r="63" spans="22:29" x14ac:dyDescent="0.3">
      <c r="V63" s="11">
        <v>6</v>
      </c>
      <c r="W63" s="187">
        <f>($W$60*SQRT(V63))/SQRT(3)</f>
        <v>2.2627416997969521</v>
      </c>
      <c r="X63" s="11">
        <v>0.3</v>
      </c>
      <c r="Y63" s="11">
        <f t="shared" si="43"/>
        <v>5.7</v>
      </c>
      <c r="Z63" s="187">
        <f t="shared" si="44"/>
        <v>2.2054478003344355</v>
      </c>
      <c r="AA63" s="188">
        <f t="shared" si="45"/>
        <v>3.1758448324815873</v>
      </c>
      <c r="AB63" s="188">
        <f t="shared" si="46"/>
        <v>5.2930747208026458</v>
      </c>
      <c r="AC63" s="188">
        <f t="shared" si="47"/>
        <v>10.586149441605292</v>
      </c>
    </row>
    <row r="64" spans="22:29" x14ac:dyDescent="0.3">
      <c r="V64" s="11">
        <v>7</v>
      </c>
      <c r="W64" s="187">
        <f>($W$60*SQRT(V64))/SQRT(3)</f>
        <v>2.4440403706431151</v>
      </c>
      <c r="X64" s="11">
        <v>0.4</v>
      </c>
      <c r="Y64" s="11">
        <f t="shared" si="43"/>
        <v>6.6</v>
      </c>
      <c r="Z64" s="187">
        <f t="shared" si="44"/>
        <v>2.3731835158706125</v>
      </c>
      <c r="AA64" s="188">
        <f t="shared" si="45"/>
        <v>3.4173842628536817</v>
      </c>
      <c r="AB64" s="188">
        <f t="shared" si="46"/>
        <v>5.6956404380894696</v>
      </c>
      <c r="AC64" s="188">
        <f t="shared" si="47"/>
        <v>11.391280876178939</v>
      </c>
    </row>
    <row r="66" spans="22:29" x14ac:dyDescent="0.3">
      <c r="V66" s="11" t="s">
        <v>255</v>
      </c>
    </row>
    <row r="67" spans="22:29" x14ac:dyDescent="0.3">
      <c r="V67" s="11" t="s">
        <v>248</v>
      </c>
      <c r="W67" s="11" t="s">
        <v>247</v>
      </c>
      <c r="X67" s="190" t="s">
        <v>249</v>
      </c>
      <c r="Y67" s="11" t="s">
        <v>250</v>
      </c>
      <c r="Z67" s="11" t="s">
        <v>247</v>
      </c>
      <c r="AA67" s="11">
        <v>30</v>
      </c>
      <c r="AB67" s="11">
        <v>50</v>
      </c>
      <c r="AC67" s="11">
        <v>100</v>
      </c>
    </row>
    <row r="68" spans="22:29" x14ac:dyDescent="0.3">
      <c r="V68" s="11">
        <v>1</v>
      </c>
      <c r="W68" s="187">
        <f>($W$71*SQRT(V68))/SQRT(3)</f>
        <v>1.1547005383792517</v>
      </c>
      <c r="X68" s="11">
        <v>0.2</v>
      </c>
      <c r="Y68" s="11">
        <f t="shared" ref="Y68" si="48">V68-X68</f>
        <v>0.8</v>
      </c>
      <c r="Z68" s="187">
        <f t="shared" ref="Z68:Z75" si="49">($W$71*SQRT(Y68))/SQRT(3)</f>
        <v>1.0327955589886446</v>
      </c>
      <c r="AA68" s="188">
        <f t="shared" ref="AA68:AA75" si="50">$AC68*($AA$67/100)</f>
        <v>1.4872256049436483</v>
      </c>
      <c r="AB68" s="188">
        <f t="shared" ref="AB68:AB75" si="51">$AC68*($AB$67/100)</f>
        <v>2.4787093415727472</v>
      </c>
      <c r="AC68" s="188">
        <f t="shared" ref="AC68:AC75" si="52">($Z68*60000)/($B$4*$B$5)</f>
        <v>4.9574186831454945</v>
      </c>
    </row>
    <row r="69" spans="22:29" x14ac:dyDescent="0.3">
      <c r="V69" s="11">
        <v>1.5</v>
      </c>
      <c r="W69" s="187">
        <f>($W$71*SQRT(V69))/SQRT(3)</f>
        <v>1.4142135623730949</v>
      </c>
      <c r="X69" s="11">
        <v>0.2</v>
      </c>
      <c r="Y69" s="11">
        <f t="shared" ref="Y69:Y75" si="53">V69-X69</f>
        <v>1.3</v>
      </c>
      <c r="Z69" s="187">
        <f t="shared" si="49"/>
        <v>1.3165611772087669</v>
      </c>
      <c r="AA69" s="188">
        <f t="shared" si="50"/>
        <v>1.8958480951806242</v>
      </c>
      <c r="AB69" s="188">
        <f t="shared" si="51"/>
        <v>3.1597468253010406</v>
      </c>
      <c r="AC69" s="188">
        <f t="shared" si="52"/>
        <v>6.3194936506020811</v>
      </c>
    </row>
    <row r="70" spans="22:29" x14ac:dyDescent="0.3">
      <c r="V70" s="11">
        <v>2</v>
      </c>
      <c r="W70" s="187">
        <f>($W$71*SQRT(V70))/SQRT(3)</f>
        <v>1.6329931618554523</v>
      </c>
      <c r="X70" s="11">
        <v>0.2</v>
      </c>
      <c r="Y70" s="11">
        <f t="shared" si="53"/>
        <v>1.8</v>
      </c>
      <c r="Z70" s="187">
        <f t="shared" si="49"/>
        <v>1.5491933384829668</v>
      </c>
      <c r="AA70" s="188">
        <f t="shared" si="50"/>
        <v>2.2308384074154723</v>
      </c>
      <c r="AB70" s="188">
        <f t="shared" si="51"/>
        <v>3.7180640123591204</v>
      </c>
      <c r="AC70" s="188">
        <f t="shared" si="52"/>
        <v>7.4361280247182409</v>
      </c>
    </row>
    <row r="71" spans="22:29" x14ac:dyDescent="0.3">
      <c r="V71" s="11">
        <v>3</v>
      </c>
      <c r="W71" s="191">
        <v>2</v>
      </c>
      <c r="X71" s="11">
        <v>0.3</v>
      </c>
      <c r="Y71" s="11">
        <f t="shared" si="53"/>
        <v>2.7</v>
      </c>
      <c r="Z71" s="187">
        <f t="shared" si="49"/>
        <v>1.8973665961010278</v>
      </c>
      <c r="AA71" s="188">
        <f t="shared" si="50"/>
        <v>2.7322078983854801</v>
      </c>
      <c r="AB71" s="188">
        <f t="shared" si="51"/>
        <v>4.5536798306424666</v>
      </c>
      <c r="AC71" s="188">
        <f t="shared" si="52"/>
        <v>9.1073596612849332</v>
      </c>
    </row>
    <row r="72" spans="22:29" x14ac:dyDescent="0.3">
      <c r="V72" s="11">
        <v>4</v>
      </c>
      <c r="W72" s="187">
        <f>($W$71*SQRT(V72))/SQRT(3)</f>
        <v>2.3094010767585034</v>
      </c>
      <c r="X72" s="11">
        <v>0.3</v>
      </c>
      <c r="Y72" s="11">
        <f t="shared" si="53"/>
        <v>3.7</v>
      </c>
      <c r="Z72" s="187">
        <f t="shared" si="49"/>
        <v>2.2211108331943579</v>
      </c>
      <c r="AA72" s="188">
        <f t="shared" si="50"/>
        <v>3.1983995997998758</v>
      </c>
      <c r="AB72" s="188">
        <f t="shared" si="51"/>
        <v>5.3306659996664596</v>
      </c>
      <c r="AC72" s="188">
        <f t="shared" si="52"/>
        <v>10.661331999332919</v>
      </c>
    </row>
    <row r="73" spans="22:29" x14ac:dyDescent="0.3">
      <c r="V73" s="11">
        <v>5</v>
      </c>
      <c r="W73" s="187">
        <f>($W$71*SQRT(V73))/SQRT(3)</f>
        <v>2.5819888974716116</v>
      </c>
      <c r="X73" s="11">
        <v>0.4</v>
      </c>
      <c r="Y73" s="11">
        <f t="shared" si="53"/>
        <v>4.5999999999999996</v>
      </c>
      <c r="Z73" s="187">
        <f t="shared" si="49"/>
        <v>2.4765567494675618</v>
      </c>
      <c r="AA73" s="188">
        <f t="shared" si="50"/>
        <v>3.5662417192332891</v>
      </c>
      <c r="AB73" s="188">
        <f t="shared" si="51"/>
        <v>5.9437361987221484</v>
      </c>
      <c r="AC73" s="188">
        <f t="shared" si="52"/>
        <v>11.887472397444297</v>
      </c>
    </row>
    <row r="74" spans="22:29" x14ac:dyDescent="0.3">
      <c r="V74" s="11">
        <v>6</v>
      </c>
      <c r="W74" s="187">
        <f>($W$71*SQRT(V74))/SQRT(3)</f>
        <v>2.8284271247461898</v>
      </c>
      <c r="X74" s="11">
        <v>0.5</v>
      </c>
      <c r="Y74" s="11">
        <f t="shared" si="53"/>
        <v>5.5</v>
      </c>
      <c r="Z74" s="187">
        <f t="shared" si="49"/>
        <v>2.7080128015453204</v>
      </c>
      <c r="AA74" s="188">
        <f t="shared" si="50"/>
        <v>3.8995384342252613</v>
      </c>
      <c r="AB74" s="188">
        <f t="shared" si="51"/>
        <v>6.4992307237087692</v>
      </c>
      <c r="AC74" s="188">
        <f t="shared" si="52"/>
        <v>12.998461447417538</v>
      </c>
    </row>
    <row r="75" spans="22:29" x14ac:dyDescent="0.3">
      <c r="V75" s="11">
        <v>7</v>
      </c>
      <c r="W75" s="187">
        <f>($W$71*SQRT(V75))/SQRT(3)</f>
        <v>3.0550504633038935</v>
      </c>
      <c r="X75" s="11">
        <v>0.6</v>
      </c>
      <c r="Y75" s="11">
        <f t="shared" si="53"/>
        <v>6.4</v>
      </c>
      <c r="Z75" s="187">
        <f t="shared" si="49"/>
        <v>2.9211869733608862</v>
      </c>
      <c r="AA75" s="188">
        <f t="shared" si="50"/>
        <v>4.2065092416396759</v>
      </c>
      <c r="AB75" s="188">
        <f t="shared" si="51"/>
        <v>7.0108487360661265</v>
      </c>
      <c r="AC75" s="188">
        <f t="shared" si="52"/>
        <v>14.021697472132253</v>
      </c>
    </row>
    <row r="77" spans="22:29" x14ac:dyDescent="0.3">
      <c r="V77" s="11" t="s">
        <v>256</v>
      </c>
    </row>
    <row r="78" spans="22:29" x14ac:dyDescent="0.3">
      <c r="V78" s="11" t="s">
        <v>248</v>
      </c>
      <c r="W78" s="11" t="s">
        <v>247</v>
      </c>
      <c r="X78" s="190" t="s">
        <v>249</v>
      </c>
      <c r="Y78" s="11" t="s">
        <v>250</v>
      </c>
      <c r="Z78" s="11" t="s">
        <v>247</v>
      </c>
      <c r="AA78" s="11">
        <v>30</v>
      </c>
      <c r="AB78" s="11">
        <v>50</v>
      </c>
      <c r="AC78" s="11">
        <v>100</v>
      </c>
    </row>
    <row r="79" spans="22:29" x14ac:dyDescent="0.3">
      <c r="V79" s="11">
        <v>1</v>
      </c>
      <c r="W79" s="187">
        <f>($W$82*SQRT(V79))/SQRT(3)</f>
        <v>1.3856406460551018</v>
      </c>
      <c r="X79" s="190">
        <v>0.2</v>
      </c>
      <c r="Y79" s="11">
        <f t="shared" ref="Y79:Y86" si="54">V79-X79</f>
        <v>0.8</v>
      </c>
      <c r="Z79" s="187">
        <f t="shared" ref="Z79:Z86" si="55">($W$82*SQRT(Y79))/SQRT(3)</f>
        <v>1.2393546707863732</v>
      </c>
      <c r="AA79" s="188">
        <f t="shared" ref="AA79:AA86" si="56">$AC79*($AA$78/100)</f>
        <v>1.7846707259323773</v>
      </c>
      <c r="AB79" s="188">
        <f t="shared" ref="AB79:AB86" si="57">$AC79*($AB$78/100)</f>
        <v>2.9744512098872957</v>
      </c>
      <c r="AC79" s="188">
        <f t="shared" ref="AC79:AC86" si="58">($Z79*60000)/($B$4*$B$5)</f>
        <v>5.9489024197745914</v>
      </c>
    </row>
    <row r="80" spans="22:29" x14ac:dyDescent="0.3">
      <c r="V80" s="11">
        <v>1.5</v>
      </c>
      <c r="W80" s="187">
        <f>($W$82*SQRT(V80))/SQRT(3)</f>
        <v>1.697056274847714</v>
      </c>
      <c r="X80" s="11">
        <v>0.2</v>
      </c>
      <c r="Y80" s="11">
        <f t="shared" si="54"/>
        <v>1.3</v>
      </c>
      <c r="Z80" s="187">
        <f t="shared" si="55"/>
        <v>1.5798734126505201</v>
      </c>
      <c r="AA80" s="188">
        <f t="shared" si="56"/>
        <v>2.2750177142167489</v>
      </c>
      <c r="AB80" s="188">
        <f t="shared" si="57"/>
        <v>3.7916961903612481</v>
      </c>
      <c r="AC80" s="188">
        <f t="shared" si="58"/>
        <v>7.5833923807224961</v>
      </c>
    </row>
    <row r="81" spans="22:29" x14ac:dyDescent="0.3">
      <c r="V81" s="11">
        <v>2</v>
      </c>
      <c r="W81" s="187">
        <f>($W$82*SQRT(V81))/SQRT(3)</f>
        <v>1.9595917942265426</v>
      </c>
      <c r="X81" s="11">
        <v>0.3</v>
      </c>
      <c r="Y81" s="11">
        <f t="shared" si="54"/>
        <v>1.7</v>
      </c>
      <c r="Z81" s="187">
        <f t="shared" si="55"/>
        <v>1.8066543665017942</v>
      </c>
      <c r="AA81" s="188">
        <f t="shared" si="56"/>
        <v>2.6015822877625836</v>
      </c>
      <c r="AB81" s="188">
        <f t="shared" si="57"/>
        <v>4.3359704796043061</v>
      </c>
      <c r="AC81" s="188">
        <f t="shared" si="58"/>
        <v>8.6719409592086123</v>
      </c>
    </row>
    <row r="82" spans="22:29" x14ac:dyDescent="0.3">
      <c r="V82" s="11">
        <v>3</v>
      </c>
      <c r="W82" s="191">
        <v>2.4</v>
      </c>
      <c r="X82" s="11">
        <v>0.4</v>
      </c>
      <c r="Y82" s="11">
        <f t="shared" si="54"/>
        <v>2.6</v>
      </c>
      <c r="Z82" s="187">
        <f t="shared" si="55"/>
        <v>2.2342784070030306</v>
      </c>
      <c r="AA82" s="188">
        <f t="shared" si="56"/>
        <v>3.2173609060843638</v>
      </c>
      <c r="AB82" s="188">
        <f t="shared" si="57"/>
        <v>5.3622681768072731</v>
      </c>
      <c r="AC82" s="188">
        <f t="shared" si="58"/>
        <v>10.724536353614546</v>
      </c>
    </row>
    <row r="83" spans="22:29" x14ac:dyDescent="0.3">
      <c r="V83" s="11">
        <v>4</v>
      </c>
      <c r="W83" s="187">
        <f>($W$82*SQRT(V83))/SQRT(3)</f>
        <v>2.7712812921102037</v>
      </c>
      <c r="X83" s="11">
        <v>0.5</v>
      </c>
      <c r="Y83" s="11">
        <f t="shared" si="54"/>
        <v>3.5</v>
      </c>
      <c r="Z83" s="187">
        <f t="shared" si="55"/>
        <v>2.5922962793631443</v>
      </c>
      <c r="AA83" s="188">
        <f t="shared" si="56"/>
        <v>3.732906642282928</v>
      </c>
      <c r="AB83" s="188">
        <f t="shared" si="57"/>
        <v>6.2215110704715473</v>
      </c>
      <c r="AC83" s="188">
        <f t="shared" si="58"/>
        <v>12.443022140943095</v>
      </c>
    </row>
    <row r="84" spans="22:29" x14ac:dyDescent="0.3">
      <c r="V84" s="11">
        <v>5</v>
      </c>
      <c r="W84" s="187">
        <f>($W$82*SQRT(V84))/SQRT(3)</f>
        <v>3.0983866769659336</v>
      </c>
      <c r="X84" s="11">
        <v>0.6</v>
      </c>
      <c r="Y84" s="11">
        <f t="shared" si="54"/>
        <v>4.4000000000000004</v>
      </c>
      <c r="Z84" s="187">
        <f t="shared" si="55"/>
        <v>2.9065443399335926</v>
      </c>
      <c r="AA84" s="188">
        <f t="shared" si="56"/>
        <v>4.1854238495043727</v>
      </c>
      <c r="AB84" s="188">
        <f t="shared" si="57"/>
        <v>6.9757064158406221</v>
      </c>
      <c r="AC84" s="188">
        <f t="shared" si="58"/>
        <v>13.951412831681244</v>
      </c>
    </row>
    <row r="85" spans="22:29" x14ac:dyDescent="0.3">
      <c r="V85" s="11">
        <v>6</v>
      </c>
      <c r="W85" s="187">
        <f>($W$82*SQRT(V85))/SQRT(3)</f>
        <v>3.3941125496954281</v>
      </c>
      <c r="X85" s="11">
        <v>0.7</v>
      </c>
      <c r="Y85" s="11">
        <f t="shared" si="54"/>
        <v>5.3</v>
      </c>
      <c r="Z85" s="187">
        <f t="shared" si="55"/>
        <v>3.1899843259803013</v>
      </c>
      <c r="AA85" s="188">
        <f t="shared" si="56"/>
        <v>4.593577429411634</v>
      </c>
      <c r="AB85" s="188">
        <f t="shared" si="57"/>
        <v>7.6559623823527234</v>
      </c>
      <c r="AC85" s="188">
        <f t="shared" si="58"/>
        <v>15.311924764705447</v>
      </c>
    </row>
    <row r="86" spans="22:29" x14ac:dyDescent="0.3">
      <c r="V86" s="11">
        <v>7</v>
      </c>
      <c r="W86" s="187">
        <f>($W$82*SQRT(V86))/SQRT(3)</f>
        <v>3.6660605559646724</v>
      </c>
      <c r="X86" s="11">
        <v>0.8</v>
      </c>
      <c r="Y86" s="11">
        <f t="shared" si="54"/>
        <v>6.2</v>
      </c>
      <c r="Z86" s="187">
        <f t="shared" si="55"/>
        <v>3.4502173844556521</v>
      </c>
      <c r="AA86" s="188">
        <f t="shared" si="56"/>
        <v>4.9683130336161394</v>
      </c>
      <c r="AB86" s="188">
        <f t="shared" si="57"/>
        <v>8.2805217226935657</v>
      </c>
      <c r="AC86" s="188">
        <f t="shared" si="58"/>
        <v>16.561043445387131</v>
      </c>
    </row>
    <row r="88" spans="22:29" x14ac:dyDescent="0.3">
      <c r="V88" s="11" t="s">
        <v>257</v>
      </c>
    </row>
    <row r="89" spans="22:29" x14ac:dyDescent="0.3">
      <c r="V89" s="11" t="s">
        <v>248</v>
      </c>
      <c r="W89" s="11" t="s">
        <v>247</v>
      </c>
      <c r="X89" s="190" t="s">
        <v>249</v>
      </c>
      <c r="Y89" s="11" t="s">
        <v>250</v>
      </c>
      <c r="Z89" s="11" t="s">
        <v>247</v>
      </c>
      <c r="AA89" s="11">
        <v>30</v>
      </c>
      <c r="AB89" s="11">
        <v>50</v>
      </c>
      <c r="AC89" s="11">
        <v>100</v>
      </c>
    </row>
    <row r="90" spans="22:29" x14ac:dyDescent="0.3">
      <c r="V90" s="11">
        <v>1</v>
      </c>
      <c r="W90" s="187">
        <f>($W$93*SQRT(V90))/SQRT(3)</f>
        <v>1.8475208614068026</v>
      </c>
      <c r="X90" s="190">
        <v>0.3</v>
      </c>
      <c r="Y90" s="11">
        <f t="shared" ref="Y90:Y97" si="59">V90-X90</f>
        <v>0.7</v>
      </c>
      <c r="Z90" s="187">
        <f t="shared" ref="Z90:Z97" si="60">($W$93*SQRT(Y90))/SQRT(3)</f>
        <v>1.5457468529268739</v>
      </c>
      <c r="AA90" s="188">
        <f t="shared" ref="AA90:AA97" si="61">$AC90*($AA$89/100)</f>
        <v>2.2258754682146984</v>
      </c>
      <c r="AB90" s="188">
        <f t="shared" ref="AB90:AB97" si="62">$AC90*($AB$89/100)</f>
        <v>3.7097924470244972</v>
      </c>
      <c r="AC90" s="188">
        <f t="shared" ref="AC90:AC97" si="63">($Z90*60000)/($B$4*$B$5)</f>
        <v>7.4195848940489944</v>
      </c>
    </row>
    <row r="91" spans="22:29" x14ac:dyDescent="0.3">
      <c r="V91" s="11">
        <v>1.5</v>
      </c>
      <c r="W91" s="187">
        <f>($W$93*SQRT(V91))/SQRT(3)</f>
        <v>2.2627416997969521</v>
      </c>
      <c r="X91" s="11">
        <v>0.3</v>
      </c>
      <c r="Y91" s="11">
        <f t="shared" si="59"/>
        <v>1.2</v>
      </c>
      <c r="Z91" s="187">
        <f t="shared" si="60"/>
        <v>2.0238577025077631</v>
      </c>
      <c r="AA91" s="188">
        <f t="shared" si="61"/>
        <v>2.9143550916111787</v>
      </c>
      <c r="AB91" s="188">
        <f t="shared" si="62"/>
        <v>4.8572584860186314</v>
      </c>
      <c r="AC91" s="188">
        <f t="shared" si="63"/>
        <v>9.7145169720372628</v>
      </c>
    </row>
    <row r="92" spans="22:29" x14ac:dyDescent="0.3">
      <c r="V92" s="11">
        <v>2</v>
      </c>
      <c r="W92" s="187">
        <f>($W$93*SQRT(V92))/SQRT(3)</f>
        <v>2.6127890589687239</v>
      </c>
      <c r="X92" s="11">
        <v>0.4</v>
      </c>
      <c r="Y92" s="11">
        <f t="shared" si="59"/>
        <v>1.6</v>
      </c>
      <c r="Z92" s="187">
        <f t="shared" si="60"/>
        <v>2.3369495786887091</v>
      </c>
      <c r="AA92" s="188">
        <f t="shared" si="61"/>
        <v>3.3652073933117408</v>
      </c>
      <c r="AB92" s="188">
        <f t="shared" si="62"/>
        <v>5.6086789888529012</v>
      </c>
      <c r="AC92" s="188">
        <f t="shared" si="63"/>
        <v>11.217357977705802</v>
      </c>
    </row>
    <row r="93" spans="22:29" x14ac:dyDescent="0.3">
      <c r="V93" s="11">
        <v>3</v>
      </c>
      <c r="W93" s="191">
        <v>3.2</v>
      </c>
      <c r="X93" s="11">
        <v>0.6</v>
      </c>
      <c r="Y93" s="11">
        <f t="shared" si="59"/>
        <v>2.4</v>
      </c>
      <c r="Z93" s="187">
        <f t="shared" si="60"/>
        <v>2.8621670111997313</v>
      </c>
      <c r="AA93" s="188">
        <f t="shared" si="61"/>
        <v>4.1215204961276131</v>
      </c>
      <c r="AB93" s="188">
        <f t="shared" si="62"/>
        <v>6.8692008268793554</v>
      </c>
      <c r="AC93" s="188">
        <f t="shared" si="63"/>
        <v>13.738401653758711</v>
      </c>
    </row>
    <row r="94" spans="22:29" x14ac:dyDescent="0.3">
      <c r="V94" s="11">
        <v>4</v>
      </c>
      <c r="W94" s="187">
        <f>($W$93*SQRT(V94))/SQRT(3)</f>
        <v>3.6950417228136052</v>
      </c>
      <c r="X94" s="11">
        <v>0.8</v>
      </c>
      <c r="Y94" s="11">
        <f t="shared" si="59"/>
        <v>3.2</v>
      </c>
      <c r="Z94" s="187">
        <f t="shared" si="60"/>
        <v>3.3049457887636624</v>
      </c>
      <c r="AA94" s="188">
        <f t="shared" si="61"/>
        <v>4.7591219358196737</v>
      </c>
      <c r="AB94" s="188">
        <f t="shared" si="62"/>
        <v>7.9318698930327898</v>
      </c>
      <c r="AC94" s="188">
        <f t="shared" si="63"/>
        <v>15.86373978606558</v>
      </c>
    </row>
    <row r="95" spans="22:29" x14ac:dyDescent="0.3">
      <c r="V95" s="11">
        <v>5</v>
      </c>
      <c r="W95" s="187">
        <f>($W$93*SQRT(V95))/SQRT(3)</f>
        <v>4.1311822359545785</v>
      </c>
      <c r="X95" s="11">
        <v>1</v>
      </c>
      <c r="Y95" s="11">
        <f t="shared" si="59"/>
        <v>4</v>
      </c>
      <c r="Z95" s="187">
        <f t="shared" si="60"/>
        <v>3.6950417228136052</v>
      </c>
      <c r="AA95" s="188">
        <f t="shared" si="61"/>
        <v>5.3208600808515909</v>
      </c>
      <c r="AB95" s="188">
        <f t="shared" si="62"/>
        <v>8.8681001347526518</v>
      </c>
      <c r="AC95" s="188">
        <f t="shared" si="63"/>
        <v>17.736200269505304</v>
      </c>
    </row>
    <row r="96" spans="22:29" x14ac:dyDescent="0.3">
      <c r="V96" s="11">
        <v>6</v>
      </c>
      <c r="W96" s="187">
        <f>($W$93*SQRT(V96))/SQRT(3)</f>
        <v>4.5254833995939041</v>
      </c>
      <c r="X96" s="11">
        <v>1.2</v>
      </c>
      <c r="Y96" s="11">
        <f t="shared" si="59"/>
        <v>4.8</v>
      </c>
      <c r="Z96" s="187">
        <f t="shared" si="60"/>
        <v>4.0477154050155262</v>
      </c>
      <c r="AA96" s="188">
        <f t="shared" si="61"/>
        <v>5.8287101832223573</v>
      </c>
      <c r="AB96" s="188">
        <f t="shared" si="62"/>
        <v>9.7145169720372628</v>
      </c>
      <c r="AC96" s="188">
        <f t="shared" si="63"/>
        <v>19.429033944074526</v>
      </c>
    </row>
    <row r="97" spans="22:29" x14ac:dyDescent="0.3">
      <c r="V97" s="11">
        <v>7</v>
      </c>
      <c r="W97" s="187">
        <f>($W$93*SQRT(V97))/SQRT(3)</f>
        <v>4.8880807412862302</v>
      </c>
      <c r="X97" s="11">
        <v>1.4</v>
      </c>
      <c r="Y97" s="11">
        <f t="shared" si="59"/>
        <v>5.6</v>
      </c>
      <c r="Z97" s="187">
        <f t="shared" si="60"/>
        <v>4.3720323268094292</v>
      </c>
      <c r="AA97" s="188">
        <f t="shared" si="61"/>
        <v>6.2957265506055782</v>
      </c>
      <c r="AB97" s="188">
        <f t="shared" si="62"/>
        <v>10.492877584342631</v>
      </c>
      <c r="AC97" s="188">
        <f t="shared" si="63"/>
        <v>20.985755168685262</v>
      </c>
    </row>
    <row r="99" spans="22:29" x14ac:dyDescent="0.3">
      <c r="V99" s="11" t="s">
        <v>258</v>
      </c>
    </row>
    <row r="100" spans="22:29" x14ac:dyDescent="0.3">
      <c r="V100" s="11" t="s">
        <v>248</v>
      </c>
      <c r="W100" s="11" t="s">
        <v>247</v>
      </c>
      <c r="X100" s="190" t="s">
        <v>249</v>
      </c>
      <c r="Y100" s="11" t="s">
        <v>250</v>
      </c>
      <c r="Z100" s="11" t="s">
        <v>247</v>
      </c>
      <c r="AA100" s="11">
        <v>30</v>
      </c>
      <c r="AB100" s="11">
        <v>50</v>
      </c>
      <c r="AC100" s="11">
        <v>100</v>
      </c>
    </row>
    <row r="101" spans="22:29" x14ac:dyDescent="0.3">
      <c r="V101" s="11">
        <v>1</v>
      </c>
      <c r="W101" s="187">
        <f>($W$104*SQRT(V101))/SQRT(3)</f>
        <v>2.3094010767585034</v>
      </c>
      <c r="X101" s="190">
        <v>0.5</v>
      </c>
      <c r="Y101" s="11">
        <f t="shared" ref="Y101:Y108" si="64">V101-X101</f>
        <v>0.5</v>
      </c>
      <c r="Z101" s="187">
        <f t="shared" ref="Z101:Z108" si="65">($W$104*SQRT(Y101))/SQRT(3)</f>
        <v>1.6329931618554523</v>
      </c>
      <c r="AA101" s="188">
        <f t="shared" ref="AA101:AA108" si="66">$AC101*($AA$100/100)</f>
        <v>2.351510153071851</v>
      </c>
      <c r="AB101" s="188">
        <f t="shared" ref="AB101:AB108" si="67">$AC101*($AB$100/100)</f>
        <v>3.9191835884530852</v>
      </c>
      <c r="AC101" s="188">
        <f t="shared" ref="AC101:AC108" si="68">($Z101*60000)/($B$4*$B$5)</f>
        <v>7.8383671769061705</v>
      </c>
    </row>
    <row r="102" spans="22:29" x14ac:dyDescent="0.3">
      <c r="V102" s="11">
        <v>1.5</v>
      </c>
      <c r="W102" s="187">
        <f>($W$104*SQRT(V102))/SQRT(3)</f>
        <v>2.8284271247461898</v>
      </c>
      <c r="X102" s="11">
        <v>0.5</v>
      </c>
      <c r="Y102" s="11">
        <f t="shared" si="64"/>
        <v>1</v>
      </c>
      <c r="Z102" s="187">
        <f t="shared" si="65"/>
        <v>2.3094010767585034</v>
      </c>
      <c r="AA102" s="188">
        <f t="shared" si="66"/>
        <v>3.3255375505322449</v>
      </c>
      <c r="AB102" s="188">
        <f t="shared" si="67"/>
        <v>5.5425625842204083</v>
      </c>
      <c r="AC102" s="188">
        <f t="shared" si="68"/>
        <v>11.085125168440817</v>
      </c>
    </row>
    <row r="103" spans="22:29" x14ac:dyDescent="0.3">
      <c r="V103" s="11">
        <v>2</v>
      </c>
      <c r="W103" s="187">
        <f>($W$104*SQRT(V103))/SQRT(3)</f>
        <v>3.2659863237109046</v>
      </c>
      <c r="X103" s="11">
        <v>0.7</v>
      </c>
      <c r="Y103" s="11">
        <f t="shared" si="64"/>
        <v>1.3</v>
      </c>
      <c r="Z103" s="187">
        <f t="shared" si="65"/>
        <v>2.6331223544175337</v>
      </c>
      <c r="AA103" s="188">
        <f t="shared" si="66"/>
        <v>3.7916961903612485</v>
      </c>
      <c r="AB103" s="188">
        <f t="shared" si="67"/>
        <v>6.3194936506020811</v>
      </c>
      <c r="AC103" s="188">
        <f t="shared" si="68"/>
        <v>12.638987301204162</v>
      </c>
    </row>
    <row r="104" spans="22:29" x14ac:dyDescent="0.3">
      <c r="V104" s="11">
        <v>3</v>
      </c>
      <c r="W104" s="191">
        <v>4</v>
      </c>
      <c r="X104" s="11">
        <v>1</v>
      </c>
      <c r="Y104" s="11">
        <f t="shared" si="64"/>
        <v>2</v>
      </c>
      <c r="Z104" s="187">
        <f t="shared" si="65"/>
        <v>3.2659863237109046</v>
      </c>
      <c r="AA104" s="188">
        <f t="shared" si="66"/>
        <v>4.7030203061437019</v>
      </c>
      <c r="AB104" s="188">
        <f t="shared" si="67"/>
        <v>7.8383671769061705</v>
      </c>
      <c r="AC104" s="188">
        <f t="shared" si="68"/>
        <v>15.676734353812341</v>
      </c>
    </row>
    <row r="105" spans="22:29" x14ac:dyDescent="0.3">
      <c r="V105" s="11">
        <v>4</v>
      </c>
      <c r="W105" s="187">
        <f>($W$104*SQRT(V105))/SQRT(3)</f>
        <v>4.6188021535170067</v>
      </c>
      <c r="X105" s="11">
        <v>1.3</v>
      </c>
      <c r="Y105" s="11">
        <f t="shared" si="64"/>
        <v>2.7</v>
      </c>
      <c r="Z105" s="187">
        <f t="shared" si="65"/>
        <v>3.7947331922020555</v>
      </c>
      <c r="AA105" s="188">
        <f t="shared" si="66"/>
        <v>5.4644157967709601</v>
      </c>
      <c r="AB105" s="188">
        <f t="shared" si="67"/>
        <v>9.1073596612849332</v>
      </c>
      <c r="AC105" s="188">
        <f t="shared" si="68"/>
        <v>18.214719322569866</v>
      </c>
    </row>
    <row r="106" spans="22:29" x14ac:dyDescent="0.3">
      <c r="V106" s="11">
        <v>5</v>
      </c>
      <c r="W106" s="187">
        <f>($W$104*SQRT(V106))/SQRT(3)</f>
        <v>5.1639777949432233</v>
      </c>
      <c r="X106" s="11">
        <v>1.6</v>
      </c>
      <c r="Y106" s="11">
        <f t="shared" si="64"/>
        <v>3.4</v>
      </c>
      <c r="Z106" s="187">
        <f t="shared" si="65"/>
        <v>4.2583251793790167</v>
      </c>
      <c r="AA106" s="188">
        <f t="shared" si="66"/>
        <v>6.1319882583057836</v>
      </c>
      <c r="AB106" s="188">
        <f t="shared" si="67"/>
        <v>10.21998043050964</v>
      </c>
      <c r="AC106" s="188">
        <f t="shared" si="68"/>
        <v>20.43996086101928</v>
      </c>
    </row>
    <row r="107" spans="22:29" x14ac:dyDescent="0.3">
      <c r="V107" s="11">
        <v>6</v>
      </c>
      <c r="W107" s="187">
        <f>($W$104*SQRT(V107))/SQRT(3)</f>
        <v>5.6568542494923797</v>
      </c>
      <c r="X107" s="11">
        <v>1.9</v>
      </c>
      <c r="Y107" s="11">
        <f t="shared" si="64"/>
        <v>4.0999999999999996</v>
      </c>
      <c r="Z107" s="187">
        <f t="shared" si="65"/>
        <v>4.6761807778000479</v>
      </c>
      <c r="AA107" s="188">
        <f t="shared" si="66"/>
        <v>6.7337003200320691</v>
      </c>
      <c r="AB107" s="188">
        <f t="shared" si="67"/>
        <v>11.222833866720116</v>
      </c>
      <c r="AC107" s="188">
        <f t="shared" si="68"/>
        <v>22.445667733440231</v>
      </c>
    </row>
    <row r="108" spans="22:29" x14ac:dyDescent="0.3">
      <c r="V108" s="11">
        <v>7</v>
      </c>
      <c r="W108" s="187">
        <f>($W$104*SQRT(V108))/SQRT(3)</f>
        <v>6.110100926607787</v>
      </c>
      <c r="X108" s="11">
        <v>2.2000000000000002</v>
      </c>
      <c r="Y108" s="11">
        <f t="shared" si="64"/>
        <v>4.8</v>
      </c>
      <c r="Z108" s="187">
        <f t="shared" si="65"/>
        <v>5.0596442562694071</v>
      </c>
      <c r="AA108" s="188">
        <f t="shared" si="66"/>
        <v>7.2858877290279453</v>
      </c>
      <c r="AB108" s="188">
        <f t="shared" si="67"/>
        <v>12.143146215046576</v>
      </c>
      <c r="AC108" s="188">
        <f t="shared" si="68"/>
        <v>24.286292430093152</v>
      </c>
    </row>
  </sheetData>
  <sheetProtection algorithmName="SHA-512" hashValue="MCmtd8NaFlyIRYWRX7TVxKUhojaJd9W985nB5DNh8XRaWHWgBE4zAa1rksgPAUI3fT1/rW1CBvrIbcxgnmJJKQ==" saltValue="NMpEphbaaPdLIM2TkddW6Q==" spinCount="100000" sheet="1" objects="1" scenarios="1"/>
  <mergeCells count="11">
    <mergeCell ref="R14:S14"/>
    <mergeCell ref="P4:T4"/>
    <mergeCell ref="A14:A15"/>
    <mergeCell ref="B14:C14"/>
    <mergeCell ref="D14:E14"/>
    <mergeCell ref="F14:G14"/>
    <mergeCell ref="H14:I14"/>
    <mergeCell ref="J14:K14"/>
    <mergeCell ref="L14:M14"/>
    <mergeCell ref="N14:O14"/>
    <mergeCell ref="P14:Q14"/>
  </mergeCells>
  <conditionalFormatting sqref="C6 H6:I6 E6 B7:C7 E7:I7 B8:I12">
    <cfRule type="cellIs" dxfId="6" priority="2" operator="greaterThan">
      <formula>$B$4</formula>
    </cfRule>
  </conditionalFormatting>
  <conditionalFormatting sqref="B16:S23">
    <cfRule type="cellIs" dxfId="5" priority="1" operator="between">
      <formula>3</formula>
      <formula>20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8.109375" style="11" bestFit="1" customWidth="1"/>
    <col min="8" max="14" width="6.6640625" style="11" customWidth="1"/>
    <col min="15" max="20" width="6.6640625" style="12" customWidth="1"/>
    <col min="21" max="34" width="6.6640625" style="11" customWidth="1"/>
    <col min="35" max="16384" width="11.44140625" style="11"/>
  </cols>
  <sheetData>
    <row r="1" spans="1:34" x14ac:dyDescent="0.3">
      <c r="A1" s="10"/>
    </row>
    <row r="2" spans="1:34" ht="18" thickBot="1" x14ac:dyDescent="0.35"/>
    <row r="3" spans="1:34" ht="18" thickBot="1" x14ac:dyDescent="0.35">
      <c r="A3" s="135" t="s">
        <v>62</v>
      </c>
      <c r="B3" s="409">
        <v>0.6</v>
      </c>
      <c r="C3" s="409"/>
      <c r="D3" s="410"/>
    </row>
    <row r="4" spans="1:34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385"/>
      <c r="Z4" s="411">
        <v>0.95</v>
      </c>
      <c r="AA4" s="412"/>
      <c r="AB4" s="412"/>
      <c r="AC4" s="412"/>
      <c r="AD4" s="412"/>
      <c r="AE4" s="413"/>
      <c r="AF4" s="392" t="s">
        <v>53</v>
      </c>
      <c r="AG4" s="392"/>
      <c r="AH4" s="393"/>
    </row>
    <row r="5" spans="1:34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89"/>
      <c r="Z5" s="414" t="s">
        <v>14</v>
      </c>
      <c r="AA5" s="415"/>
      <c r="AB5" s="416"/>
      <c r="AC5" s="414" t="s">
        <v>55</v>
      </c>
      <c r="AD5" s="415"/>
      <c r="AE5" s="416"/>
      <c r="AF5" s="395"/>
      <c r="AG5" s="395"/>
      <c r="AH5" s="396"/>
    </row>
    <row r="6" spans="1:34" ht="18" thickBot="1" x14ac:dyDescent="0.35">
      <c r="A6" s="16">
        <v>6</v>
      </c>
      <c r="B6" s="17">
        <f>(((SQRT(B5)*$B$3)/SQRT(3))*$C$15)/$A6</f>
        <v>138.5640646055102</v>
      </c>
      <c r="C6" s="17">
        <f>(((SQRT(C5)*$B$3)/SQRT(3))*$C$15)/$A6</f>
        <v>240</v>
      </c>
      <c r="D6" s="17">
        <f>(((SQRT(D5)*$B$3)/SQRT(3))*$C$15)/$A6</f>
        <v>339.41125496954282</v>
      </c>
      <c r="F6" s="106" t="str">
        <f>_2053b</f>
        <v>Lechler</v>
      </c>
      <c r="G6" s="106" t="str">
        <f>_2053c</f>
        <v>IDK 90 015 C</v>
      </c>
      <c r="H6" s="132">
        <f>_2053h</f>
        <v>1.5</v>
      </c>
      <c r="I6" s="42" t="str">
        <f>IF(H6="","","bis")</f>
        <v>bis</v>
      </c>
      <c r="J6" s="19">
        <f>_2053i</f>
        <v>3</v>
      </c>
      <c r="K6" s="20">
        <f>(((SQRT($H6)*$B$3)/SQRT(3))*60000)/($B$12*$B$15)</f>
        <v>5.0911688245431419</v>
      </c>
      <c r="L6" s="42" t="str">
        <f>IF(K6="","","bis")</f>
        <v>bis</v>
      </c>
      <c r="M6" s="18">
        <f>(((SQRT($J6)*$B$3)/SQRT(3))*60000)/($B$12*$B$15)</f>
        <v>7.2</v>
      </c>
      <c r="N6" s="19">
        <f>_2053j</f>
        <v>1.5</v>
      </c>
      <c r="O6" s="42" t="str">
        <f>IF(N6="","","bis")</f>
        <v>bis</v>
      </c>
      <c r="P6" s="18">
        <f>_2053k</f>
        <v>3</v>
      </c>
      <c r="Q6" s="20">
        <f>(((SQRT($N6)*$B$3)/SQRT(3))*60000)/($B$12*$B$15)</f>
        <v>5.0911688245431419</v>
      </c>
      <c r="R6" s="42" t="str">
        <f>IF(Q6="","","bis")</f>
        <v>bis</v>
      </c>
      <c r="S6" s="18">
        <f>(((SQRT($P6)*$B$3)/SQRT(3))*60000)/($B$12*$B$15)</f>
        <v>7.2</v>
      </c>
      <c r="T6" s="20">
        <f>_2053l</f>
        <v>1.5</v>
      </c>
      <c r="U6" s="42" t="str">
        <f>IF(T6="","","bis")</f>
        <v>bis</v>
      </c>
      <c r="V6" s="19">
        <f>_2053m</f>
        <v>2</v>
      </c>
      <c r="W6" s="20">
        <f>(((SQRT($T6)*$B$3)/SQRT(3))*60000)/($B$12*$B$15)</f>
        <v>5.0911688245431419</v>
      </c>
      <c r="X6" s="42" t="str">
        <f>IF(W6="","","bis")</f>
        <v>bis</v>
      </c>
      <c r="Y6" s="18">
        <f>(((SQRT($V6)*$B$3)/SQRT(3))*60000)/($B$12*$B$15)</f>
        <v>5.8787753826796285</v>
      </c>
      <c r="Z6" s="20">
        <f>_2053n</f>
        <v>1.5</v>
      </c>
      <c r="AA6" s="42" t="str">
        <f>IF(Z6="","","bis")</f>
        <v>bis</v>
      </c>
      <c r="AB6" s="18">
        <f>_2053o</f>
        <v>1.6</v>
      </c>
      <c r="AC6" s="20">
        <f>(((SQRT($Z6)*$B$3)/SQRT(3))*60000)/($B$12*$B$15)</f>
        <v>5.0911688245431419</v>
      </c>
      <c r="AD6" s="42" t="str">
        <f>IF(AC6="","","bis")</f>
        <v>bis</v>
      </c>
      <c r="AE6" s="18">
        <f>(((SQRT($AB6)*$B$3)/SQRT(3))*60000)/($B$12*$B$15)</f>
        <v>5.2581365520495948</v>
      </c>
      <c r="AF6" s="133">
        <f>_2053f</f>
        <v>1.5</v>
      </c>
      <c r="AG6" s="42" t="str">
        <f>IF(AF6="","","bis")</f>
        <v>bis</v>
      </c>
      <c r="AH6" s="134">
        <f>_2053g</f>
        <v>8</v>
      </c>
    </row>
    <row r="7" spans="1:34" ht="18" thickBot="1" x14ac:dyDescent="0.35">
      <c r="A7" s="21">
        <v>7</v>
      </c>
      <c r="B7" s="17">
        <f>(((SQRT(B5)*$B$3)/SQRT(3))*$C$15)/$A7</f>
        <v>118.76919823329445</v>
      </c>
      <c r="C7" s="17">
        <f>(((SQRT(C5)*$B$3)/SQRT(3))*$C$15)/$A7</f>
        <v>205.71428571428572</v>
      </c>
      <c r="D7" s="17">
        <f>(((SQRT(D5)*$B$3)/SQRT(3))*$C$15)/$A7</f>
        <v>290.92393283103672</v>
      </c>
      <c r="F7" s="106" t="str">
        <f>_2291b</f>
        <v>JohnDeere</v>
      </c>
      <c r="G7" s="106" t="str">
        <f>_2291c</f>
        <v>LDAC 90-015</v>
      </c>
      <c r="H7" s="132">
        <f>_2291h</f>
        <v>1.5</v>
      </c>
      <c r="I7" s="42" t="str">
        <f>IF(H7="","","bis")</f>
        <v>bis</v>
      </c>
      <c r="J7" s="18">
        <f>_2291i</f>
        <v>3</v>
      </c>
      <c r="K7" s="20">
        <f>(((SQRT($H7)*$B$3)/SQRT(3))*60000)/($B$12*$B$15)</f>
        <v>5.0911688245431419</v>
      </c>
      <c r="L7" s="42" t="str">
        <f>IF(K7="","","bis")</f>
        <v>bis</v>
      </c>
      <c r="M7" s="18">
        <f>(((SQRT($J7)*$B$3)/SQRT(3))*60000)/($B$12*$B$15)</f>
        <v>7.2</v>
      </c>
      <c r="N7" s="20">
        <f>_2291j</f>
        <v>1.5</v>
      </c>
      <c r="O7" s="42" t="str">
        <f>IF(N7="","","bis")</f>
        <v>bis</v>
      </c>
      <c r="P7" s="18">
        <f>_2291k</f>
        <v>3</v>
      </c>
      <c r="Q7" s="20">
        <f>(((SQRT($N7)*$B$3)/SQRT(3))*60000)/($B$12*$B$15)</f>
        <v>5.0911688245431419</v>
      </c>
      <c r="R7" s="42" t="str">
        <f>IF(Q7="","","bis")</f>
        <v>bis</v>
      </c>
      <c r="S7" s="18">
        <f>(((SQRT($P7)*$B$3)/SQRT(3))*60000)/($B$12*$B$15)</f>
        <v>7.2</v>
      </c>
      <c r="T7" s="20">
        <f>_2291l</f>
        <v>1.5</v>
      </c>
      <c r="U7" s="42" t="str">
        <f>IF(T7="","","bis")</f>
        <v>bis</v>
      </c>
      <c r="V7" s="18">
        <f>_2291m</f>
        <v>2</v>
      </c>
      <c r="W7" s="20">
        <f>(((SQRT($T7)*$B$3)/SQRT(3))*60000)/($B$12*$B$15)</f>
        <v>5.0911688245431419</v>
      </c>
      <c r="X7" s="42" t="str">
        <f>IF(W7="","","bis")</f>
        <v>bis</v>
      </c>
      <c r="Y7" s="18">
        <f>(((SQRT($V7)*$B$3)/SQRT(3))*60000)/($B$12*$B$15)</f>
        <v>5.8787753826796285</v>
      </c>
      <c r="Z7" s="20">
        <f>_2291n</f>
        <v>1.5</v>
      </c>
      <c r="AA7" s="42" t="str">
        <f>IF(Z7="","","bis")</f>
        <v>bis</v>
      </c>
      <c r="AB7" s="18">
        <f>_2291o</f>
        <v>1.6</v>
      </c>
      <c r="AC7" s="19">
        <f>(((SQRT($Z7)*$B$3)/SQRT(3))*60000)/($B$12*$B$15)</f>
        <v>5.0911688245431419</v>
      </c>
      <c r="AD7" s="19" t="str">
        <f t="shared" ref="AD7:AD10" si="0">IF(AC7="","","bis")</f>
        <v>bis</v>
      </c>
      <c r="AE7" s="19">
        <f t="shared" ref="AE7:AE10" si="1">(((SQRT($AB7)*$B$3)/SQRT(3))*60000)/($B$12*$B$15)</f>
        <v>5.2581365520495948</v>
      </c>
      <c r="AF7" s="133">
        <f>_2291f</f>
        <v>1.5</v>
      </c>
      <c r="AG7" s="42" t="str">
        <f>IF(AF7="","","bis")</f>
        <v>bis</v>
      </c>
      <c r="AH7" s="134">
        <f>_2291g</f>
        <v>8</v>
      </c>
    </row>
    <row r="8" spans="1:34" ht="18" thickBot="1" x14ac:dyDescent="0.35">
      <c r="A8" s="21">
        <v>8</v>
      </c>
      <c r="B8" s="17">
        <f>(((SQRT(B5)*$B$3)/SQRT(3))*$C$15)/$A8</f>
        <v>103.92304845413264</v>
      </c>
      <c r="C8" s="17">
        <f>(((SQRT(C5)*$B$3)/SQRT(3))*$C$15)/$A8</f>
        <v>180</v>
      </c>
      <c r="D8" s="17">
        <f>(((SQRT(D5)*$B$3)/SQRT(3))*$C$15)/$A8</f>
        <v>254.55844122715712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20"/>
      <c r="AA8" s="42" t="str">
        <f>IF(Z8="","","bis")</f>
        <v/>
      </c>
      <c r="AB8" s="18"/>
      <c r="AC8" s="19">
        <f t="shared" ref="AC8:AC10" si="2">(((SQRT($Z8)*$B$3)/SQRT(3))*60000)/($B$12*$B$15)</f>
        <v>0</v>
      </c>
      <c r="AD8" s="19" t="str">
        <f t="shared" si="0"/>
        <v>bis</v>
      </c>
      <c r="AE8" s="19">
        <f t="shared" si="1"/>
        <v>0</v>
      </c>
      <c r="AF8" s="133"/>
      <c r="AG8" s="42" t="str">
        <f>IF(AF8="","","bis")</f>
        <v/>
      </c>
      <c r="AH8" s="134"/>
    </row>
    <row r="9" spans="1:34" ht="18" thickBot="1" x14ac:dyDescent="0.35">
      <c r="A9" s="21">
        <v>9</v>
      </c>
      <c r="B9" s="17">
        <f>(((SQRT(B5)*$B$3)/SQRT(3))*$C$15)/$A9</f>
        <v>92.376043070340131</v>
      </c>
      <c r="C9" s="17">
        <f>(((SQRT(C5)*$B$3)/SQRT(3))*$C$15)/$A9</f>
        <v>160</v>
      </c>
      <c r="D9" s="17">
        <f>(((SQRT(D5)*$B$3)/SQRT(3))*$C$15)/$A9</f>
        <v>226.27416997969522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20"/>
      <c r="AA9" s="42" t="str">
        <f>IF(Z9="","","bis")</f>
        <v/>
      </c>
      <c r="AB9" s="18"/>
      <c r="AC9" s="19">
        <f t="shared" si="2"/>
        <v>0</v>
      </c>
      <c r="AD9" s="19" t="str">
        <f t="shared" si="0"/>
        <v>bis</v>
      </c>
      <c r="AE9" s="19">
        <f t="shared" si="1"/>
        <v>0</v>
      </c>
      <c r="AF9" s="133"/>
      <c r="AG9" s="42" t="str">
        <f>IF(AF9="","","bis")</f>
        <v/>
      </c>
      <c r="AH9" s="134"/>
    </row>
    <row r="10" spans="1:34" ht="18" thickBot="1" x14ac:dyDescent="0.35">
      <c r="A10" s="22">
        <v>10</v>
      </c>
      <c r="B10" s="27">
        <f>(((SQRT(B5)*$B$3)/SQRT(3))*$C$15)/$A10</f>
        <v>83.138438763306112</v>
      </c>
      <c r="C10" s="27">
        <f>(((SQRT(C5)*$B$3)/SQRT(3))*$C$15)/$A10</f>
        <v>144</v>
      </c>
      <c r="D10" s="27">
        <f>(((SQRT(D5)*$B$3)/SQRT(3))*$C$15)/$A10</f>
        <v>203.64675298172568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20"/>
      <c r="AA10" s="42" t="str">
        <f>IF(Z10="","","bis")</f>
        <v/>
      </c>
      <c r="AB10" s="18"/>
      <c r="AC10" s="19">
        <f t="shared" si="2"/>
        <v>0</v>
      </c>
      <c r="AD10" s="19" t="str">
        <f t="shared" si="0"/>
        <v>bis</v>
      </c>
      <c r="AE10" s="19">
        <f t="shared" si="1"/>
        <v>0</v>
      </c>
      <c r="AF10" s="133"/>
      <c r="AG10" s="42" t="str">
        <f>IF(AF10="","","bis")</f>
        <v/>
      </c>
      <c r="AH10" s="134"/>
    </row>
    <row r="11" spans="1:34" ht="18" thickBot="1" x14ac:dyDescent="0.35">
      <c r="J11" s="2"/>
    </row>
    <row r="12" spans="1:34" ht="18" thickBot="1" x14ac:dyDescent="0.35">
      <c r="A12" s="23" t="s">
        <v>56</v>
      </c>
      <c r="B12" s="8">
        <v>200</v>
      </c>
      <c r="C12" s="24"/>
    </row>
    <row r="13" spans="1:34" ht="18" thickBot="1" x14ac:dyDescent="0.35">
      <c r="A13" s="23" t="s">
        <v>57</v>
      </c>
      <c r="B13" s="25">
        <f>POWER(((SQRT(3)*$C$13)/$B$3),2)</f>
        <v>2.083333333333333</v>
      </c>
      <c r="C13" s="26">
        <f>(B12*B14*B15)/60000</f>
        <v>0.5</v>
      </c>
    </row>
    <row r="14" spans="1:34" ht="18" thickBot="1" x14ac:dyDescent="0.35">
      <c r="A14" s="23" t="s">
        <v>58</v>
      </c>
      <c r="B14" s="9">
        <v>6</v>
      </c>
    </row>
    <row r="15" spans="1:34" ht="18" thickBot="1" x14ac:dyDescent="0.35">
      <c r="A15" s="23" t="s">
        <v>61</v>
      </c>
      <c r="B15" s="29">
        <v>25</v>
      </c>
      <c r="C15" s="26">
        <f>(60000/B15)</f>
        <v>2400</v>
      </c>
    </row>
  </sheetData>
  <sheetProtection algorithmName="SHA-512" hashValue="XtEQ7S164KqvBugZ4COzkYQsT7pL08zH0r1jBuZyGXAtibJh5sXNLXFb1jCpZ1xrJo64WRdebnUkNj+94iYOdw==" saltValue="BfyMIz26xiEq/DGYBrDJlQ==" spinCount="100000" sheet="1" objects="1" scenarios="1"/>
  <mergeCells count="14">
    <mergeCell ref="Z4:AE4"/>
    <mergeCell ref="Z5:AB5"/>
    <mergeCell ref="AC5:AE5"/>
    <mergeCell ref="W5:Y5"/>
    <mergeCell ref="AF4:AH5"/>
    <mergeCell ref="B3:D3"/>
    <mergeCell ref="H4:M4"/>
    <mergeCell ref="N4:S4"/>
    <mergeCell ref="T4:Y4"/>
    <mergeCell ref="H5:J5"/>
    <mergeCell ref="K5:M5"/>
    <mergeCell ref="N5:P5"/>
    <mergeCell ref="Q5:S5"/>
    <mergeCell ref="T5:V5"/>
  </mergeCells>
  <conditionalFormatting sqref="B6">
    <cfRule type="cellIs" dxfId="779" priority="16" operator="greaterThan">
      <formula>$B$12</formula>
    </cfRule>
  </conditionalFormatting>
  <conditionalFormatting sqref="C6">
    <cfRule type="cellIs" dxfId="778" priority="15" operator="greaterThan">
      <formula>$B$12</formula>
    </cfRule>
  </conditionalFormatting>
  <conditionalFormatting sqref="D6">
    <cfRule type="cellIs" dxfId="777" priority="14" operator="greaterThan">
      <formula>$B$12</formula>
    </cfRule>
  </conditionalFormatting>
  <conditionalFormatting sqref="B7">
    <cfRule type="cellIs" dxfId="776" priority="13" operator="greaterThan">
      <formula>$B$12</formula>
    </cfRule>
  </conditionalFormatting>
  <conditionalFormatting sqref="C7">
    <cfRule type="cellIs" dxfId="775" priority="12" operator="greaterThan">
      <formula>$B$12</formula>
    </cfRule>
  </conditionalFormatting>
  <conditionalFormatting sqref="D7">
    <cfRule type="cellIs" dxfId="774" priority="11" operator="greaterThan">
      <formula>$B$12</formula>
    </cfRule>
  </conditionalFormatting>
  <conditionalFormatting sqref="B8">
    <cfRule type="cellIs" dxfId="773" priority="10" operator="greaterThan">
      <formula>$B$12</formula>
    </cfRule>
  </conditionalFormatting>
  <conditionalFormatting sqref="B9">
    <cfRule type="cellIs" dxfId="772" priority="9" operator="greaterThan">
      <formula>$B$12</formula>
    </cfRule>
  </conditionalFormatting>
  <conditionalFormatting sqref="B10">
    <cfRule type="cellIs" dxfId="771" priority="8" operator="greaterThan">
      <formula>$B$12</formula>
    </cfRule>
  </conditionalFormatting>
  <conditionalFormatting sqref="C8">
    <cfRule type="cellIs" dxfId="770" priority="7" operator="greaterThan">
      <formula>$B$12</formula>
    </cfRule>
  </conditionalFormatting>
  <conditionalFormatting sqref="C9">
    <cfRule type="cellIs" dxfId="769" priority="5" operator="greaterThan">
      <formula>$B$12</formula>
    </cfRule>
  </conditionalFormatting>
  <conditionalFormatting sqref="D9">
    <cfRule type="cellIs" dxfId="768" priority="4" operator="greaterThan">
      <formula>$B$12</formula>
    </cfRule>
  </conditionalFormatting>
  <conditionalFormatting sqref="C10">
    <cfRule type="cellIs" dxfId="767" priority="3" operator="greaterThan">
      <formula>$B$12</formula>
    </cfRule>
  </conditionalFormatting>
  <conditionalFormatting sqref="D10">
    <cfRule type="cellIs" dxfId="766" priority="2" operator="greaterThan">
      <formula>$B$12</formula>
    </cfRule>
  </conditionalFormatting>
  <conditionalFormatting sqref="D8">
    <cfRule type="cellIs" dxfId="765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2"/>
  <sheetViews>
    <sheetView showRowColHeaders="0" zoomScale="70" zoomScaleNormal="70" workbookViewId="0">
      <selection activeCell="B5" sqref="B5"/>
    </sheetView>
  </sheetViews>
  <sheetFormatPr baseColWidth="10" defaultColWidth="11.44140625" defaultRowHeight="17.399999999999999" x14ac:dyDescent="0.3"/>
  <cols>
    <col min="1" max="1" width="21.33203125" style="11" bestFit="1" customWidth="1"/>
    <col min="2" max="19" width="15.6640625" style="11" customWidth="1"/>
    <col min="20" max="20" width="6.6640625" style="11" customWidth="1"/>
    <col min="21" max="21" width="11.44140625" style="11"/>
    <col min="22" max="29" width="0" style="11" hidden="1" customWidth="1"/>
    <col min="30" max="16384" width="11.44140625" style="11"/>
  </cols>
  <sheetData>
    <row r="1" spans="1:29" x14ac:dyDescent="0.3">
      <c r="A1" s="10"/>
      <c r="V1" s="11" t="s">
        <v>245</v>
      </c>
    </row>
    <row r="2" spans="1:29" x14ac:dyDescent="0.3">
      <c r="V2" s="11" t="s">
        <v>248</v>
      </c>
      <c r="W2" s="11" t="s">
        <v>247</v>
      </c>
      <c r="X2" s="190" t="s">
        <v>249</v>
      </c>
      <c r="Y2" s="11" t="s">
        <v>250</v>
      </c>
      <c r="Z2" s="11" t="s">
        <v>247</v>
      </c>
      <c r="AA2" s="11">
        <v>30</v>
      </c>
      <c r="AB2" s="11">
        <v>50</v>
      </c>
      <c r="AC2" s="11">
        <v>100</v>
      </c>
    </row>
    <row r="3" spans="1:29" ht="18" thickBot="1" x14ac:dyDescent="0.35">
      <c r="V3" s="11">
        <v>1</v>
      </c>
      <c r="W3" s="187">
        <f>($W$6*SQRT(V3))/SQRT(3)</f>
        <v>0.23094010767585033</v>
      </c>
      <c r="X3" s="11">
        <v>0</v>
      </c>
      <c r="Y3" s="11">
        <f t="shared" ref="Y3:Y9" si="0">V3-X3</f>
        <v>1</v>
      </c>
      <c r="Z3" s="187">
        <f t="shared" ref="Z3:Z9" si="1">($W$6*SQRT(Y3))/SQRT(3)</f>
        <v>0.23094010767585033</v>
      </c>
      <c r="AA3" s="188">
        <f t="shared" ref="AA3:AA9" si="2">$AC3*($AA$2/100)</f>
        <v>0.55425625842204074</v>
      </c>
      <c r="AB3" s="188">
        <f t="shared" ref="AB3:AB9" si="3">$AC3*($AB$2/100)</f>
        <v>0.9237604307034013</v>
      </c>
      <c r="AC3" s="188">
        <f t="shared" ref="AC3:AC9" si="4">($Z3*60000)/($B$4*$B$5)</f>
        <v>1.8475208614068026</v>
      </c>
    </row>
    <row r="4" spans="1:29" ht="18" thickBot="1" x14ac:dyDescent="0.35">
      <c r="A4" s="23" t="s">
        <v>56</v>
      </c>
      <c r="B4" s="8">
        <v>150</v>
      </c>
      <c r="C4" s="171"/>
      <c r="D4" s="171"/>
      <c r="E4" s="171"/>
      <c r="F4" s="24"/>
      <c r="G4" s="24"/>
      <c r="J4" s="115"/>
      <c r="K4" s="115"/>
      <c r="L4" s="115"/>
      <c r="M4" s="115"/>
      <c r="N4" s="115"/>
      <c r="O4" s="115"/>
      <c r="P4" s="428"/>
      <c r="Q4" s="428"/>
      <c r="R4" s="428"/>
      <c r="S4" s="428"/>
      <c r="T4" s="428"/>
      <c r="V4" s="11">
        <v>1.5</v>
      </c>
      <c r="W4" s="187">
        <f>($W$6*SQRT(V4))/SQRT(3)</f>
        <v>0.28284271247461901</v>
      </c>
      <c r="X4" s="11">
        <v>0</v>
      </c>
      <c r="Y4" s="11">
        <f t="shared" si="0"/>
        <v>1.5</v>
      </c>
      <c r="Z4" s="187">
        <f t="shared" si="1"/>
        <v>0.28284271247461901</v>
      </c>
      <c r="AA4" s="188">
        <f t="shared" si="2"/>
        <v>0.67882250993908555</v>
      </c>
      <c r="AB4" s="188">
        <f t="shared" si="3"/>
        <v>1.131370849898476</v>
      </c>
      <c r="AC4" s="188">
        <f t="shared" si="4"/>
        <v>2.2627416997969521</v>
      </c>
    </row>
    <row r="5" spans="1:29" ht="18" thickBot="1" x14ac:dyDescent="0.35">
      <c r="A5" s="23" t="s">
        <v>61</v>
      </c>
      <c r="B5" s="29">
        <v>50</v>
      </c>
      <c r="C5" s="26">
        <f>(60000/B5)</f>
        <v>1200</v>
      </c>
      <c r="D5" s="171"/>
      <c r="E5" s="26"/>
      <c r="G5" s="173"/>
      <c r="J5" s="115"/>
      <c r="K5" s="115"/>
      <c r="L5" s="115"/>
      <c r="M5" s="115"/>
      <c r="N5" s="115"/>
      <c r="O5" s="115"/>
      <c r="P5" s="136"/>
      <c r="Q5" s="136"/>
      <c r="R5" s="117"/>
      <c r="S5" s="117"/>
      <c r="T5" s="118"/>
      <c r="V5" s="11">
        <v>2</v>
      </c>
      <c r="W5" s="187">
        <f>($W$6*SQRT(V5))/SQRT(3)</f>
        <v>0.32659863237109049</v>
      </c>
      <c r="X5" s="11">
        <v>0</v>
      </c>
      <c r="Y5" s="11">
        <f t="shared" si="0"/>
        <v>2</v>
      </c>
      <c r="Z5" s="187">
        <f t="shared" si="1"/>
        <v>0.32659863237109049</v>
      </c>
      <c r="AA5" s="188">
        <f t="shared" si="2"/>
        <v>0.78383671769061714</v>
      </c>
      <c r="AB5" s="188">
        <f t="shared" si="3"/>
        <v>1.306394529484362</v>
      </c>
      <c r="AC5" s="188">
        <f t="shared" si="4"/>
        <v>2.6127890589687239</v>
      </c>
    </row>
    <row r="6" spans="1:29" ht="18" thickBot="1" x14ac:dyDescent="0.35">
      <c r="A6" s="195" t="s">
        <v>262</v>
      </c>
      <c r="B6" s="202">
        <v>50</v>
      </c>
      <c r="C6" s="105"/>
      <c r="D6" s="173"/>
      <c r="E6" s="105"/>
      <c r="G6" s="49"/>
      <c r="H6" s="105"/>
      <c r="I6" s="105"/>
      <c r="J6" s="115"/>
      <c r="K6" s="115"/>
      <c r="L6" s="115"/>
      <c r="M6" s="115"/>
      <c r="N6" s="115"/>
      <c r="O6" s="115"/>
      <c r="P6" s="136"/>
      <c r="Q6" s="136"/>
      <c r="R6" s="117"/>
      <c r="S6" s="117"/>
      <c r="T6" s="118"/>
      <c r="V6" s="11">
        <v>3</v>
      </c>
      <c r="W6" s="191">
        <v>0.4</v>
      </c>
      <c r="X6" s="11">
        <v>0</v>
      </c>
      <c r="Y6" s="11">
        <f t="shared" si="0"/>
        <v>3</v>
      </c>
      <c r="Z6" s="187">
        <f t="shared" si="1"/>
        <v>0.4</v>
      </c>
      <c r="AA6" s="188">
        <f t="shared" si="2"/>
        <v>0.96</v>
      </c>
      <c r="AB6" s="188">
        <f t="shared" si="3"/>
        <v>1.6</v>
      </c>
      <c r="AC6" s="188">
        <f t="shared" si="4"/>
        <v>3.2</v>
      </c>
    </row>
    <row r="7" spans="1:29" x14ac:dyDescent="0.3">
      <c r="A7" s="192"/>
      <c r="B7" s="105"/>
      <c r="C7" s="105"/>
      <c r="D7" s="49"/>
      <c r="E7" s="105"/>
      <c r="F7" s="105"/>
      <c r="G7" s="105"/>
      <c r="H7" s="105"/>
      <c r="I7" s="105"/>
      <c r="J7" s="115"/>
      <c r="K7" s="115"/>
      <c r="L7" s="115"/>
      <c r="M7" s="115"/>
      <c r="N7" s="115"/>
      <c r="O7" s="115"/>
      <c r="P7" s="136"/>
      <c r="Q7" s="136"/>
      <c r="R7" s="117"/>
      <c r="S7" s="117"/>
      <c r="T7" s="118"/>
      <c r="V7" s="11">
        <v>4</v>
      </c>
      <c r="W7" s="187">
        <f>($W$6*SQRT(V7))/SQRT(3)</f>
        <v>0.46188021535170065</v>
      </c>
      <c r="X7" s="11">
        <v>0</v>
      </c>
      <c r="Y7" s="11">
        <f t="shared" si="0"/>
        <v>4</v>
      </c>
      <c r="Z7" s="187">
        <f t="shared" si="1"/>
        <v>0.46188021535170065</v>
      </c>
      <c r="AA7" s="188">
        <f t="shared" si="2"/>
        <v>1.1085125168440815</v>
      </c>
      <c r="AB7" s="188">
        <f t="shared" si="3"/>
        <v>1.8475208614068026</v>
      </c>
      <c r="AC7" s="188">
        <f t="shared" si="4"/>
        <v>3.6950417228136052</v>
      </c>
    </row>
    <row r="8" spans="1:29" x14ac:dyDescent="0.3">
      <c r="A8" s="192"/>
      <c r="B8" s="105"/>
      <c r="C8" s="105"/>
      <c r="D8" s="105"/>
      <c r="E8" s="105"/>
      <c r="F8" s="105"/>
      <c r="G8" s="105"/>
      <c r="H8" s="105"/>
      <c r="I8" s="105"/>
      <c r="J8" s="115"/>
      <c r="K8" s="115"/>
      <c r="L8" s="115"/>
      <c r="M8" s="115"/>
      <c r="N8" s="115"/>
      <c r="O8" s="115"/>
      <c r="P8" s="136"/>
      <c r="Q8" s="136"/>
      <c r="R8" s="117"/>
      <c r="S8" s="117"/>
      <c r="T8" s="118"/>
      <c r="V8" s="11">
        <v>5</v>
      </c>
      <c r="W8" s="187">
        <f>($W$6*SQRT(V8))/SQRT(3)</f>
        <v>0.51639777949432231</v>
      </c>
      <c r="X8" s="11">
        <v>0</v>
      </c>
      <c r="Y8" s="11">
        <f t="shared" si="0"/>
        <v>5</v>
      </c>
      <c r="Z8" s="187">
        <f t="shared" si="1"/>
        <v>0.51639777949432231</v>
      </c>
      <c r="AA8" s="188">
        <f t="shared" si="2"/>
        <v>1.2393546707863734</v>
      </c>
      <c r="AB8" s="188">
        <f t="shared" si="3"/>
        <v>2.0655911179772892</v>
      </c>
      <c r="AC8" s="188">
        <f t="shared" si="4"/>
        <v>4.1311822359545785</v>
      </c>
    </row>
    <row r="9" spans="1:29" ht="18" thickBot="1" x14ac:dyDescent="0.35">
      <c r="A9" s="115"/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36"/>
      <c r="Q9" s="136"/>
      <c r="R9" s="117"/>
      <c r="S9" s="117"/>
      <c r="T9" s="118"/>
      <c r="V9" s="11">
        <v>6</v>
      </c>
      <c r="W9" s="187">
        <f>($W$6*SQRT(V9))/SQRT(3)</f>
        <v>0.56568542494923801</v>
      </c>
      <c r="X9" s="11">
        <v>0</v>
      </c>
      <c r="Y9" s="11">
        <f t="shared" si="0"/>
        <v>6</v>
      </c>
      <c r="Z9" s="187">
        <f t="shared" si="1"/>
        <v>0.56568542494923801</v>
      </c>
      <c r="AA9" s="188">
        <f t="shared" si="2"/>
        <v>1.3576450198781711</v>
      </c>
      <c r="AB9" s="188">
        <f t="shared" si="3"/>
        <v>2.2627416997969521</v>
      </c>
      <c r="AC9" s="188">
        <f t="shared" si="4"/>
        <v>4.5254833995939041</v>
      </c>
    </row>
    <row r="10" spans="1:29" ht="18" thickBot="1" x14ac:dyDescent="0.35">
      <c r="A10" s="463" t="s">
        <v>260</v>
      </c>
      <c r="B10" s="465" t="s">
        <v>259</v>
      </c>
      <c r="C10" s="466"/>
      <c r="D10" s="467" t="s">
        <v>261</v>
      </c>
      <c r="E10" s="468"/>
      <c r="F10" s="469" t="s">
        <v>166</v>
      </c>
      <c r="G10" s="470"/>
      <c r="H10" s="471" t="s">
        <v>167</v>
      </c>
      <c r="I10" s="472"/>
      <c r="J10" s="473" t="s">
        <v>168</v>
      </c>
      <c r="K10" s="474"/>
      <c r="L10" s="475" t="s">
        <v>169</v>
      </c>
      <c r="M10" s="476"/>
      <c r="N10" s="477" t="s">
        <v>170</v>
      </c>
      <c r="O10" s="478"/>
      <c r="P10" s="479" t="s">
        <v>171</v>
      </c>
      <c r="Q10" s="480"/>
      <c r="R10" s="461" t="s">
        <v>172</v>
      </c>
      <c r="S10" s="462"/>
      <c r="T10" s="118"/>
    </row>
    <row r="11" spans="1:29" ht="18" thickBot="1" x14ac:dyDescent="0.35">
      <c r="A11" s="464"/>
      <c r="B11" s="203">
        <f>$B$6</f>
        <v>50</v>
      </c>
      <c r="C11" s="203">
        <v>100</v>
      </c>
      <c r="D11" s="203">
        <f>$B$6</f>
        <v>50</v>
      </c>
      <c r="E11" s="203">
        <v>100</v>
      </c>
      <c r="F11" s="203">
        <f>$B$6</f>
        <v>50</v>
      </c>
      <c r="G11" s="203">
        <v>100</v>
      </c>
      <c r="H11" s="203">
        <f>$B$6</f>
        <v>50</v>
      </c>
      <c r="I11" s="203">
        <v>100</v>
      </c>
      <c r="J11" s="203">
        <f>$B$6</f>
        <v>50</v>
      </c>
      <c r="K11" s="203">
        <v>100</v>
      </c>
      <c r="L11" s="203">
        <f>$B$6</f>
        <v>50</v>
      </c>
      <c r="M11" s="203">
        <v>100</v>
      </c>
      <c r="N11" s="203">
        <f>$B$6</f>
        <v>50</v>
      </c>
      <c r="O11" s="203">
        <v>100</v>
      </c>
      <c r="P11" s="203">
        <f>$B$6</f>
        <v>50</v>
      </c>
      <c r="Q11" s="203">
        <v>100</v>
      </c>
      <c r="R11" s="203">
        <f>$B$6</f>
        <v>50</v>
      </c>
      <c r="S11" s="203">
        <v>100</v>
      </c>
      <c r="T11" s="118"/>
      <c r="V11" s="11" t="s">
        <v>251</v>
      </c>
    </row>
    <row r="12" spans="1:29" x14ac:dyDescent="0.3">
      <c r="A12" s="199">
        <v>1</v>
      </c>
      <c r="B12" s="196">
        <f t="shared" ref="B12:B18" si="5">C12*(B$11/100)</f>
        <v>0.9237604307034013</v>
      </c>
      <c r="C12" s="196">
        <f t="shared" ref="C12:C18" si="6">AC3</f>
        <v>1.8475208614068026</v>
      </c>
      <c r="D12" s="196">
        <f t="shared" ref="D12:D19" si="7">E12*(D$11/100)</f>
        <v>1.3856406460551018</v>
      </c>
      <c r="E12" s="196">
        <f>AC13</f>
        <v>2.7712812921102037</v>
      </c>
      <c r="F12" s="196">
        <f t="shared" ref="F12:F19" si="8">G12*(F$11/100)</f>
        <v>1.8475208614068026</v>
      </c>
      <c r="G12" s="196">
        <f>AC24</f>
        <v>3.6950417228136052</v>
      </c>
      <c r="H12" s="196">
        <f t="shared" ref="H12:H19" si="9">I12*(H$11/100)</f>
        <v>2.3094010767585034</v>
      </c>
      <c r="I12" s="196">
        <f>AC35</f>
        <v>4.6188021535170067</v>
      </c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18"/>
      <c r="V12" s="11" t="s">
        <v>248</v>
      </c>
      <c r="W12" s="11" t="s">
        <v>247</v>
      </c>
      <c r="X12" s="190" t="s">
        <v>249</v>
      </c>
      <c r="Y12" s="11" t="s">
        <v>250</v>
      </c>
      <c r="Z12" s="11" t="s">
        <v>247</v>
      </c>
      <c r="AA12" s="11">
        <v>30</v>
      </c>
      <c r="AB12" s="11">
        <v>50</v>
      </c>
      <c r="AC12" s="11">
        <v>100</v>
      </c>
    </row>
    <row r="13" spans="1:29" x14ac:dyDescent="0.3">
      <c r="A13" s="200">
        <v>1.5</v>
      </c>
      <c r="B13" s="197">
        <f t="shared" si="5"/>
        <v>1.131370849898476</v>
      </c>
      <c r="C13" s="197">
        <f t="shared" si="6"/>
        <v>2.2627416997969521</v>
      </c>
      <c r="D13" s="197">
        <f t="shared" si="7"/>
        <v>1.697056274847714</v>
      </c>
      <c r="E13" s="197">
        <f t="shared" ref="E13:E19" si="10">AC14</f>
        <v>3.3941125496954281</v>
      </c>
      <c r="F13" s="197">
        <f t="shared" si="8"/>
        <v>2.2627416997969521</v>
      </c>
      <c r="G13" s="197">
        <f t="shared" ref="G13:G19" si="11">AC25</f>
        <v>4.5254833995939041</v>
      </c>
      <c r="H13" s="197">
        <f t="shared" si="9"/>
        <v>2.7325202042558936</v>
      </c>
      <c r="I13" s="197">
        <f t="shared" ref="I13:I19" si="12">AC36</f>
        <v>5.4650404085117872</v>
      </c>
      <c r="J13" s="197">
        <f t="shared" ref="J13:J19" si="13">K13*(J$11/100)</f>
        <v>3.2790242451070717</v>
      </c>
      <c r="K13" s="197">
        <f t="shared" ref="K13:K19" si="14">AC46</f>
        <v>6.5580484902141434</v>
      </c>
      <c r="L13" s="197">
        <f t="shared" ref="L13:L19" si="15">M13*(L$11/100)</f>
        <v>4.3720323268094292</v>
      </c>
      <c r="M13" s="197">
        <f t="shared" ref="M13:M19" si="16">AC56</f>
        <v>8.7440646536188584</v>
      </c>
      <c r="N13" s="197">
        <f t="shared" ref="N13:N19" si="17">O13*(N$11/100)</f>
        <v>5.2662447088350675</v>
      </c>
      <c r="O13" s="197">
        <f t="shared" ref="O13:O19" si="18">AC66</f>
        <v>10.532489417670135</v>
      </c>
      <c r="P13" s="197">
        <f t="shared" ref="P13:P19" si="19">Q13*(P$11/100)</f>
        <v>6.3194936506020793</v>
      </c>
      <c r="Q13" s="197">
        <f t="shared" ref="Q13:Q19" si="20">AC76</f>
        <v>12.638987301204159</v>
      </c>
      <c r="R13" s="197">
        <f t="shared" ref="R13:R19" si="21">S13*(R$11/100)</f>
        <v>8.0954308100310524</v>
      </c>
      <c r="S13" s="197">
        <f t="shared" ref="S13:S19" si="22">AC86</f>
        <v>16.190861620062105</v>
      </c>
      <c r="V13" s="11">
        <v>1</v>
      </c>
      <c r="W13" s="187">
        <f>($W$16*SQRT(V13))/SQRT(3)</f>
        <v>0.34641016151377546</v>
      </c>
      <c r="X13" s="11">
        <v>0</v>
      </c>
      <c r="Y13" s="11">
        <f t="shared" ref="Y13:Y20" si="23">V13-X13</f>
        <v>1</v>
      </c>
      <c r="Z13" s="187">
        <f t="shared" ref="Z13:Z20" si="24">($W$16*SQRT(Y13))/SQRT(3)</f>
        <v>0.34641016151377546</v>
      </c>
      <c r="AA13" s="188">
        <f t="shared" ref="AA13:AA20" si="25">$AC13*($AA$12/100)</f>
        <v>0.83138438763306111</v>
      </c>
      <c r="AB13" s="188">
        <f t="shared" ref="AB13:AB20" si="26">$AC13*($AB$12/100)</f>
        <v>1.3856406460551018</v>
      </c>
      <c r="AC13" s="188">
        <f t="shared" ref="AC13:AC20" si="27">($Z13*60000)/($B$4*$B$5)</f>
        <v>2.7712812921102037</v>
      </c>
    </row>
    <row r="14" spans="1:29" x14ac:dyDescent="0.3">
      <c r="A14" s="200">
        <v>2</v>
      </c>
      <c r="B14" s="197">
        <f t="shared" si="5"/>
        <v>1.306394529484362</v>
      </c>
      <c r="C14" s="197">
        <f t="shared" si="6"/>
        <v>2.6127890589687239</v>
      </c>
      <c r="D14" s="197">
        <f t="shared" si="7"/>
        <v>1.9595917942265426</v>
      </c>
      <c r="E14" s="197">
        <f t="shared" si="10"/>
        <v>3.9191835884530852</v>
      </c>
      <c r="F14" s="197">
        <f t="shared" si="8"/>
        <v>2.6127890589687239</v>
      </c>
      <c r="G14" s="197">
        <f t="shared" si="11"/>
        <v>5.2255781179374479</v>
      </c>
      <c r="H14" s="197">
        <f t="shared" si="9"/>
        <v>3.1832897030168859</v>
      </c>
      <c r="I14" s="197">
        <f t="shared" si="12"/>
        <v>6.3665794060337717</v>
      </c>
      <c r="J14" s="197">
        <f t="shared" si="13"/>
        <v>3.8199476436202628</v>
      </c>
      <c r="K14" s="197">
        <f t="shared" si="14"/>
        <v>7.6398952872405257</v>
      </c>
      <c r="L14" s="197">
        <f t="shared" si="15"/>
        <v>5.0932635248270177</v>
      </c>
      <c r="M14" s="197">
        <f t="shared" si="16"/>
        <v>10.186527049654035</v>
      </c>
      <c r="N14" s="197">
        <f t="shared" si="17"/>
        <v>6.1967733539318672</v>
      </c>
      <c r="O14" s="197">
        <f t="shared" si="18"/>
        <v>12.393546707863734</v>
      </c>
      <c r="P14" s="197">
        <f t="shared" si="19"/>
        <v>7.2266174660071769</v>
      </c>
      <c r="Q14" s="197">
        <f t="shared" si="20"/>
        <v>14.453234932014354</v>
      </c>
      <c r="R14" s="197">
        <f t="shared" si="21"/>
        <v>9.3477983147548365</v>
      </c>
      <c r="S14" s="197">
        <f t="shared" si="22"/>
        <v>18.695596629509673</v>
      </c>
      <c r="V14" s="11">
        <v>1.5</v>
      </c>
      <c r="W14" s="187">
        <f>($W$16*SQRT(V14))/SQRT(3)</f>
        <v>0.42426406871192851</v>
      </c>
      <c r="X14" s="11">
        <v>0</v>
      </c>
      <c r="Y14" s="11">
        <f t="shared" si="23"/>
        <v>1.5</v>
      </c>
      <c r="Z14" s="187">
        <f t="shared" si="24"/>
        <v>0.42426406871192851</v>
      </c>
      <c r="AA14" s="188">
        <f t="shared" si="25"/>
        <v>1.0182337649086284</v>
      </c>
      <c r="AB14" s="188">
        <f t="shared" si="26"/>
        <v>1.697056274847714</v>
      </c>
      <c r="AC14" s="188">
        <f t="shared" si="27"/>
        <v>3.3941125496954281</v>
      </c>
    </row>
    <row r="15" spans="1:29" x14ac:dyDescent="0.3">
      <c r="A15" s="200">
        <v>3</v>
      </c>
      <c r="B15" s="197">
        <f t="shared" si="5"/>
        <v>1.6</v>
      </c>
      <c r="C15" s="197">
        <f t="shared" si="6"/>
        <v>3.2</v>
      </c>
      <c r="D15" s="197">
        <f t="shared" si="7"/>
        <v>2.4</v>
      </c>
      <c r="E15" s="197">
        <f t="shared" si="10"/>
        <v>4.8</v>
      </c>
      <c r="F15" s="197">
        <f t="shared" si="8"/>
        <v>3.1462146568005607</v>
      </c>
      <c r="G15" s="197">
        <f t="shared" si="11"/>
        <v>6.2924293136011213</v>
      </c>
      <c r="H15" s="197">
        <f t="shared" si="9"/>
        <v>3.9327683210007001</v>
      </c>
      <c r="I15" s="197">
        <f t="shared" si="12"/>
        <v>7.8655366420014001</v>
      </c>
      <c r="J15" s="197">
        <f t="shared" si="13"/>
        <v>4.7193219852008399</v>
      </c>
      <c r="K15" s="197">
        <f t="shared" si="14"/>
        <v>9.4386439704016798</v>
      </c>
      <c r="L15" s="197">
        <f t="shared" si="15"/>
        <v>6.1829874117074954</v>
      </c>
      <c r="M15" s="197">
        <f t="shared" si="16"/>
        <v>12.365974823414991</v>
      </c>
      <c r="N15" s="197">
        <f t="shared" si="17"/>
        <v>7.589466384404111</v>
      </c>
      <c r="O15" s="197">
        <f t="shared" si="18"/>
        <v>15.178932768808222</v>
      </c>
      <c r="P15" s="197">
        <f t="shared" si="19"/>
        <v>8.9371136280121224</v>
      </c>
      <c r="Q15" s="197">
        <f t="shared" si="20"/>
        <v>17.874227256024245</v>
      </c>
      <c r="R15" s="197">
        <f t="shared" si="21"/>
        <v>11.448668044798927</v>
      </c>
      <c r="S15" s="197">
        <f t="shared" si="22"/>
        <v>22.897336089597854</v>
      </c>
      <c r="V15" s="11">
        <v>2</v>
      </c>
      <c r="W15" s="187">
        <f>($W$16*SQRT(V15))/SQRT(3)</f>
        <v>0.48989794855663565</v>
      </c>
      <c r="X15" s="11">
        <v>0</v>
      </c>
      <c r="Y15" s="11">
        <f t="shared" si="23"/>
        <v>2</v>
      </c>
      <c r="Z15" s="187">
        <f t="shared" si="24"/>
        <v>0.48989794855663565</v>
      </c>
      <c r="AA15" s="188">
        <f t="shared" si="25"/>
        <v>1.1757550765359255</v>
      </c>
      <c r="AB15" s="188">
        <f t="shared" si="26"/>
        <v>1.9595917942265426</v>
      </c>
      <c r="AC15" s="188">
        <f t="shared" si="27"/>
        <v>3.9191835884530852</v>
      </c>
    </row>
    <row r="16" spans="1:29" x14ac:dyDescent="0.3">
      <c r="A16" s="200">
        <v>4</v>
      </c>
      <c r="B16" s="197">
        <f t="shared" si="5"/>
        <v>1.8475208614068026</v>
      </c>
      <c r="C16" s="197">
        <f t="shared" si="6"/>
        <v>3.6950417228136052</v>
      </c>
      <c r="D16" s="197">
        <f t="shared" si="7"/>
        <v>2.7364210202379309</v>
      </c>
      <c r="E16" s="197">
        <f t="shared" si="10"/>
        <v>5.4728420404758618</v>
      </c>
      <c r="F16" s="197">
        <f t="shared" si="8"/>
        <v>3.6485613603172422</v>
      </c>
      <c r="G16" s="197">
        <f t="shared" si="11"/>
        <v>7.2971227206344844</v>
      </c>
      <c r="H16" s="197">
        <f t="shared" si="9"/>
        <v>4.5607017003965522</v>
      </c>
      <c r="I16" s="197">
        <f t="shared" si="12"/>
        <v>9.1214034007931044</v>
      </c>
      <c r="J16" s="197">
        <f t="shared" si="13"/>
        <v>5.4728420404758618</v>
      </c>
      <c r="K16" s="197">
        <f t="shared" si="14"/>
        <v>10.945684080951724</v>
      </c>
      <c r="L16" s="197">
        <f t="shared" si="15"/>
        <v>7.2029623535505634</v>
      </c>
      <c r="M16" s="197">
        <f t="shared" si="16"/>
        <v>14.405924707101127</v>
      </c>
      <c r="N16" s="197">
        <f t="shared" si="17"/>
        <v>8.8844433327774315</v>
      </c>
      <c r="O16" s="197">
        <f t="shared" si="18"/>
        <v>17.768886665554863</v>
      </c>
      <c r="P16" s="197">
        <f t="shared" si="19"/>
        <v>10.369185117452577</v>
      </c>
      <c r="Q16" s="197">
        <f t="shared" si="20"/>
        <v>20.738370234905155</v>
      </c>
      <c r="R16" s="197">
        <f t="shared" si="21"/>
        <v>13.21978315505465</v>
      </c>
      <c r="S16" s="197">
        <f t="shared" si="22"/>
        <v>26.439566310109299</v>
      </c>
      <c r="V16" s="11">
        <v>3</v>
      </c>
      <c r="W16" s="191">
        <v>0.6</v>
      </c>
      <c r="X16" s="11">
        <v>0</v>
      </c>
      <c r="Y16" s="11">
        <f t="shared" si="23"/>
        <v>3</v>
      </c>
      <c r="Z16" s="187">
        <f t="shared" si="24"/>
        <v>0.6</v>
      </c>
      <c r="AA16" s="188">
        <f t="shared" si="25"/>
        <v>1.44</v>
      </c>
      <c r="AB16" s="188">
        <f t="shared" si="26"/>
        <v>2.4</v>
      </c>
      <c r="AC16" s="188">
        <f t="shared" si="27"/>
        <v>4.8</v>
      </c>
    </row>
    <row r="17" spans="1:29" x14ac:dyDescent="0.3">
      <c r="A17" s="200">
        <v>5</v>
      </c>
      <c r="B17" s="197">
        <f t="shared" si="5"/>
        <v>2.0655911179772892</v>
      </c>
      <c r="C17" s="197">
        <f t="shared" si="6"/>
        <v>4.1311822359545785</v>
      </c>
      <c r="D17" s="197">
        <f t="shared" si="7"/>
        <v>3.0672463220289305</v>
      </c>
      <c r="E17" s="197">
        <f t="shared" si="10"/>
        <v>6.1344926440578611</v>
      </c>
      <c r="F17" s="197">
        <f t="shared" si="8"/>
        <v>4.0896617627052407</v>
      </c>
      <c r="G17" s="197">
        <f t="shared" si="11"/>
        <v>8.1793235254104815</v>
      </c>
      <c r="H17" s="197">
        <f t="shared" si="9"/>
        <v>5.1120772033815509</v>
      </c>
      <c r="I17" s="197">
        <f t="shared" si="12"/>
        <v>10.224154406763102</v>
      </c>
      <c r="J17" s="197">
        <f t="shared" si="13"/>
        <v>6.0715731075232879</v>
      </c>
      <c r="K17" s="197">
        <f t="shared" si="14"/>
        <v>12.143146215046576</v>
      </c>
      <c r="L17" s="197">
        <f t="shared" si="15"/>
        <v>8.010659565021264</v>
      </c>
      <c r="M17" s="197">
        <f t="shared" si="16"/>
        <v>16.021319130042528</v>
      </c>
      <c r="N17" s="197">
        <f t="shared" si="17"/>
        <v>9.9062269978702471</v>
      </c>
      <c r="O17" s="197">
        <f t="shared" si="18"/>
        <v>19.812453995740494</v>
      </c>
      <c r="P17" s="197">
        <f t="shared" si="19"/>
        <v>11.62617735973437</v>
      </c>
      <c r="Q17" s="197">
        <f t="shared" si="20"/>
        <v>23.252354719468741</v>
      </c>
      <c r="R17" s="197">
        <f t="shared" si="21"/>
        <v>14.780166891254421</v>
      </c>
      <c r="S17" s="197">
        <f t="shared" si="22"/>
        <v>29.560333782508842</v>
      </c>
      <c r="V17" s="11">
        <v>4</v>
      </c>
      <c r="W17" s="187">
        <f>($W$16*SQRT(V17))/SQRT(3)</f>
        <v>0.69282032302755092</v>
      </c>
      <c r="X17" s="11">
        <v>0.1</v>
      </c>
      <c r="Y17" s="11">
        <f t="shared" si="23"/>
        <v>3.9</v>
      </c>
      <c r="Z17" s="187">
        <f t="shared" si="24"/>
        <v>0.68410525505948272</v>
      </c>
      <c r="AA17" s="188">
        <f t="shared" si="25"/>
        <v>1.6418526121427586</v>
      </c>
      <c r="AB17" s="188">
        <f t="shared" si="26"/>
        <v>2.7364210202379309</v>
      </c>
      <c r="AC17" s="188">
        <f t="shared" si="27"/>
        <v>5.4728420404758618</v>
      </c>
    </row>
    <row r="18" spans="1:29" x14ac:dyDescent="0.3">
      <c r="A18" s="200">
        <v>6</v>
      </c>
      <c r="B18" s="197">
        <f t="shared" si="5"/>
        <v>2.2627416997969521</v>
      </c>
      <c r="C18" s="197">
        <f t="shared" si="6"/>
        <v>4.5254833995939041</v>
      </c>
      <c r="D18" s="197">
        <f t="shared" si="7"/>
        <v>3.3657094348740206</v>
      </c>
      <c r="E18" s="197">
        <f t="shared" si="10"/>
        <v>6.7314188697480413</v>
      </c>
      <c r="F18" s="197">
        <f t="shared" si="8"/>
        <v>4.4876125798320281</v>
      </c>
      <c r="G18" s="197">
        <f t="shared" si="11"/>
        <v>8.9752251596640562</v>
      </c>
      <c r="H18" s="197">
        <f t="shared" si="9"/>
        <v>5.5617742972304569</v>
      </c>
      <c r="I18" s="197">
        <f t="shared" si="12"/>
        <v>11.123548594460914</v>
      </c>
      <c r="J18" s="197">
        <f t="shared" si="13"/>
        <v>6.6741291566765479</v>
      </c>
      <c r="K18" s="197">
        <f t="shared" si="14"/>
        <v>13.348258313353096</v>
      </c>
      <c r="L18" s="197">
        <f t="shared" si="15"/>
        <v>8.821791201337744</v>
      </c>
      <c r="M18" s="197">
        <f t="shared" si="16"/>
        <v>17.643582402675488</v>
      </c>
      <c r="N18" s="197">
        <f t="shared" si="17"/>
        <v>10.832051206181282</v>
      </c>
      <c r="O18" s="197">
        <f t="shared" si="18"/>
        <v>21.664102412362563</v>
      </c>
      <c r="P18" s="197">
        <f t="shared" si="19"/>
        <v>12.759937303921205</v>
      </c>
      <c r="Q18" s="197">
        <f t="shared" si="20"/>
        <v>25.519874607842411</v>
      </c>
      <c r="R18" s="197">
        <f t="shared" si="21"/>
        <v>16.190861620062105</v>
      </c>
      <c r="S18" s="197">
        <f t="shared" si="22"/>
        <v>32.381723240124209</v>
      </c>
      <c r="V18" s="11">
        <v>5</v>
      </c>
      <c r="W18" s="187">
        <f>($W$16*SQRT(V18))/SQRT(3)</f>
        <v>0.7745966692414834</v>
      </c>
      <c r="X18" s="11">
        <v>0.1</v>
      </c>
      <c r="Y18" s="11">
        <f t="shared" si="23"/>
        <v>4.9000000000000004</v>
      </c>
      <c r="Z18" s="187">
        <f t="shared" si="24"/>
        <v>0.76681158050723264</v>
      </c>
      <c r="AA18" s="188">
        <f t="shared" si="25"/>
        <v>1.8403477932173582</v>
      </c>
      <c r="AB18" s="188">
        <f t="shared" si="26"/>
        <v>3.0672463220289305</v>
      </c>
      <c r="AC18" s="188">
        <f t="shared" si="27"/>
        <v>6.1344926440578611</v>
      </c>
    </row>
    <row r="19" spans="1:29" ht="18" thickBot="1" x14ac:dyDescent="0.35">
      <c r="A19" s="201">
        <v>7</v>
      </c>
      <c r="B19" s="193"/>
      <c r="C19" s="193"/>
      <c r="D19" s="198">
        <f t="shared" si="7"/>
        <v>3.6397802131447445</v>
      </c>
      <c r="E19" s="198">
        <f t="shared" si="10"/>
        <v>7.2795604262894891</v>
      </c>
      <c r="F19" s="198">
        <f t="shared" si="8"/>
        <v>4.8530402841929927</v>
      </c>
      <c r="G19" s="198">
        <f t="shared" si="11"/>
        <v>9.7060805683859854</v>
      </c>
      <c r="H19" s="198">
        <f t="shared" si="9"/>
        <v>6.022181221672648</v>
      </c>
      <c r="I19" s="198">
        <f t="shared" si="12"/>
        <v>12.044362443345296</v>
      </c>
      <c r="J19" s="198">
        <f t="shared" si="13"/>
        <v>7.2266174660071769</v>
      </c>
      <c r="K19" s="198">
        <f t="shared" si="14"/>
        <v>14.453234932014354</v>
      </c>
      <c r="L19" s="198">
        <f t="shared" si="15"/>
        <v>9.49273406348245</v>
      </c>
      <c r="M19" s="198">
        <f t="shared" si="16"/>
        <v>18.9854681269649</v>
      </c>
      <c r="N19" s="198">
        <f t="shared" si="17"/>
        <v>11.684747893443545</v>
      </c>
      <c r="O19" s="198">
        <f t="shared" si="18"/>
        <v>23.369495786887089</v>
      </c>
      <c r="P19" s="198">
        <f t="shared" si="19"/>
        <v>13.80086953782261</v>
      </c>
      <c r="Q19" s="198">
        <f t="shared" si="20"/>
        <v>27.60173907564522</v>
      </c>
      <c r="R19" s="198">
        <f t="shared" si="21"/>
        <v>17.488129307237717</v>
      </c>
      <c r="S19" s="198">
        <f t="shared" si="22"/>
        <v>34.976258614475434</v>
      </c>
      <c r="V19" s="11">
        <v>6</v>
      </c>
      <c r="W19" s="187">
        <f>($W$16*SQRT(V19))/SQRT(3)</f>
        <v>0.84852813742385702</v>
      </c>
      <c r="X19" s="11">
        <v>0.1</v>
      </c>
      <c r="Y19" s="11">
        <f t="shared" si="23"/>
        <v>5.9</v>
      </c>
      <c r="Z19" s="187">
        <f t="shared" si="24"/>
        <v>0.84142735871850516</v>
      </c>
      <c r="AA19" s="188">
        <f t="shared" si="25"/>
        <v>2.0194256609244121</v>
      </c>
      <c r="AB19" s="188">
        <f t="shared" si="26"/>
        <v>3.3657094348740206</v>
      </c>
      <c r="AC19" s="188">
        <f t="shared" si="27"/>
        <v>6.7314188697480413</v>
      </c>
    </row>
    <row r="20" spans="1:29" x14ac:dyDescent="0.3">
      <c r="F20" s="187"/>
      <c r="G20" s="187"/>
      <c r="L20" s="187"/>
      <c r="M20" s="187"/>
      <c r="N20" s="188"/>
      <c r="O20" s="188"/>
      <c r="P20" s="188"/>
      <c r="Q20" s="188"/>
      <c r="R20" s="188"/>
      <c r="S20" s="188"/>
      <c r="V20" s="11">
        <v>7</v>
      </c>
      <c r="W20" s="187">
        <f>($W$16*SQRT(V20))/SQRT(3)</f>
        <v>0.9165151389911681</v>
      </c>
      <c r="X20" s="11">
        <v>0.1</v>
      </c>
      <c r="Y20" s="11">
        <f t="shared" si="23"/>
        <v>6.9</v>
      </c>
      <c r="Z20" s="187">
        <f t="shared" si="24"/>
        <v>0.90994505328618613</v>
      </c>
      <c r="AA20" s="188">
        <f t="shared" si="25"/>
        <v>2.1838681278868468</v>
      </c>
      <c r="AB20" s="188">
        <f t="shared" si="26"/>
        <v>3.6397802131447445</v>
      </c>
      <c r="AC20" s="188">
        <f t="shared" si="27"/>
        <v>7.2795604262894891</v>
      </c>
    </row>
    <row r="21" spans="1:29" x14ac:dyDescent="0.3">
      <c r="F21" s="187"/>
      <c r="G21" s="187"/>
      <c r="L21" s="187"/>
      <c r="M21" s="187"/>
      <c r="N21" s="188"/>
      <c r="O21" s="188"/>
      <c r="P21" s="188"/>
      <c r="Q21" s="188"/>
      <c r="R21" s="189"/>
      <c r="S21" s="189"/>
    </row>
    <row r="22" spans="1:29" x14ac:dyDescent="0.3">
      <c r="F22" s="187"/>
      <c r="G22" s="187"/>
      <c r="L22" s="187"/>
      <c r="M22" s="187"/>
      <c r="N22" s="188"/>
      <c r="O22" s="188"/>
      <c r="P22" s="188"/>
      <c r="Q22" s="188"/>
      <c r="R22" s="189"/>
      <c r="S22" s="189"/>
      <c r="V22" s="11" t="s">
        <v>252</v>
      </c>
    </row>
    <row r="23" spans="1:29" x14ac:dyDescent="0.3">
      <c r="F23" s="187"/>
      <c r="G23" s="187"/>
      <c r="L23" s="187"/>
      <c r="M23" s="187"/>
      <c r="N23" s="188"/>
      <c r="O23" s="188"/>
      <c r="P23" s="188"/>
      <c r="Q23" s="188"/>
      <c r="R23" s="189"/>
      <c r="S23" s="189"/>
      <c r="V23" s="11" t="s">
        <v>248</v>
      </c>
      <c r="W23" s="11" t="s">
        <v>247</v>
      </c>
      <c r="X23" s="190" t="s">
        <v>249</v>
      </c>
      <c r="Y23" s="11" t="s">
        <v>250</v>
      </c>
      <c r="Z23" s="11" t="s">
        <v>247</v>
      </c>
      <c r="AA23" s="11">
        <v>30</v>
      </c>
      <c r="AB23" s="11">
        <v>50</v>
      </c>
      <c r="AC23" s="11">
        <v>100</v>
      </c>
    </row>
    <row r="24" spans="1:29" x14ac:dyDescent="0.3">
      <c r="L24" s="187"/>
      <c r="M24" s="187"/>
      <c r="N24" s="188"/>
      <c r="O24" s="188"/>
      <c r="P24" s="188"/>
      <c r="Q24" s="188"/>
      <c r="R24" s="189"/>
      <c r="S24" s="189"/>
      <c r="V24" s="11">
        <v>1</v>
      </c>
      <c r="W24" s="187">
        <f>($W$27*SQRT(V24))/SQRT(3)</f>
        <v>0.46188021535170065</v>
      </c>
      <c r="X24" s="11">
        <v>0</v>
      </c>
      <c r="Y24" s="11">
        <f t="shared" ref="Y24:Y31" si="28">V24-X24</f>
        <v>1</v>
      </c>
      <c r="Z24" s="187">
        <f t="shared" ref="Z24:Z31" si="29">($W$27*SQRT(Y24))/SQRT(3)</f>
        <v>0.46188021535170065</v>
      </c>
      <c r="AA24" s="188">
        <f>$AC24*($AA$23/100)</f>
        <v>1.1085125168440815</v>
      </c>
      <c r="AB24" s="188">
        <f>$AC24*($AB$23/100)</f>
        <v>1.8475208614068026</v>
      </c>
      <c r="AC24" s="188">
        <f t="shared" ref="AC24:AC31" si="30">($Z24*60000)/($B$4*$B$5)</f>
        <v>3.6950417228136052</v>
      </c>
    </row>
    <row r="25" spans="1:29" x14ac:dyDescent="0.3">
      <c r="V25" s="11">
        <v>1.5</v>
      </c>
      <c r="W25" s="187">
        <f>($W$27*SQRT(V25))/SQRT(3)</f>
        <v>0.56568542494923801</v>
      </c>
      <c r="X25" s="11">
        <v>0</v>
      </c>
      <c r="Y25" s="11">
        <f t="shared" si="28"/>
        <v>1.5</v>
      </c>
      <c r="Z25" s="187">
        <f t="shared" si="29"/>
        <v>0.56568542494923801</v>
      </c>
      <c r="AA25" s="188">
        <f t="shared" ref="AA25:AA31" si="31">$AC25*($AA$23/100)</f>
        <v>1.3576450198781711</v>
      </c>
      <c r="AB25" s="188">
        <f t="shared" ref="AB25:AB31" si="32">$AC25*($AB$23/100)</f>
        <v>2.2627416997969521</v>
      </c>
      <c r="AC25" s="188">
        <f t="shared" si="30"/>
        <v>4.5254833995939041</v>
      </c>
    </row>
    <row r="26" spans="1:29" x14ac:dyDescent="0.3">
      <c r="V26" s="11">
        <v>2</v>
      </c>
      <c r="W26" s="187">
        <f>($W$27*SQRT(V26))/SQRT(3)</f>
        <v>0.65319726474218098</v>
      </c>
      <c r="X26" s="11">
        <v>0</v>
      </c>
      <c r="Y26" s="11">
        <f t="shared" si="28"/>
        <v>2</v>
      </c>
      <c r="Z26" s="187">
        <f t="shared" si="29"/>
        <v>0.65319726474218098</v>
      </c>
      <c r="AA26" s="188">
        <f t="shared" si="31"/>
        <v>1.5676734353812343</v>
      </c>
      <c r="AB26" s="188">
        <f t="shared" si="32"/>
        <v>2.6127890589687239</v>
      </c>
      <c r="AC26" s="188">
        <f t="shared" si="30"/>
        <v>5.2255781179374479</v>
      </c>
    </row>
    <row r="27" spans="1:29" x14ac:dyDescent="0.3">
      <c r="V27" s="11">
        <v>3</v>
      </c>
      <c r="W27" s="191">
        <v>0.8</v>
      </c>
      <c r="X27" s="11">
        <v>0.1</v>
      </c>
      <c r="Y27" s="11">
        <f t="shared" si="28"/>
        <v>2.9</v>
      </c>
      <c r="Z27" s="187">
        <f t="shared" si="29"/>
        <v>0.78655366420014017</v>
      </c>
      <c r="AA27" s="188">
        <f t="shared" si="31"/>
        <v>1.8877287940803362</v>
      </c>
      <c r="AB27" s="188">
        <f t="shared" si="32"/>
        <v>3.1462146568005607</v>
      </c>
      <c r="AC27" s="188">
        <f t="shared" si="30"/>
        <v>6.2924293136011213</v>
      </c>
    </row>
    <row r="28" spans="1:29" x14ac:dyDescent="0.3">
      <c r="V28" s="11">
        <v>4</v>
      </c>
      <c r="W28" s="187">
        <f>($W$27*SQRT(V28))/SQRT(3)</f>
        <v>0.9237604307034013</v>
      </c>
      <c r="X28" s="11">
        <v>0.1</v>
      </c>
      <c r="Y28" s="11">
        <f t="shared" si="28"/>
        <v>3.9</v>
      </c>
      <c r="Z28" s="187">
        <f t="shared" si="29"/>
        <v>0.91214034007931055</v>
      </c>
      <c r="AA28" s="188">
        <f t="shared" si="31"/>
        <v>2.1891368161903451</v>
      </c>
      <c r="AB28" s="188">
        <f t="shared" si="32"/>
        <v>3.6485613603172422</v>
      </c>
      <c r="AC28" s="188">
        <f t="shared" si="30"/>
        <v>7.2971227206344844</v>
      </c>
    </row>
    <row r="29" spans="1:29" x14ac:dyDescent="0.3">
      <c r="V29" s="11">
        <v>5</v>
      </c>
      <c r="W29" s="187">
        <f>($W$27*SQRT(V29))/SQRT(3)</f>
        <v>1.0327955589886446</v>
      </c>
      <c r="X29" s="11">
        <v>0.1</v>
      </c>
      <c r="Y29" s="11">
        <f t="shared" si="28"/>
        <v>4.9000000000000004</v>
      </c>
      <c r="Z29" s="187">
        <f t="shared" si="29"/>
        <v>1.0224154406763102</v>
      </c>
      <c r="AA29" s="188">
        <f t="shared" si="31"/>
        <v>2.4537970576231443</v>
      </c>
      <c r="AB29" s="188">
        <f t="shared" si="32"/>
        <v>4.0896617627052407</v>
      </c>
      <c r="AC29" s="188">
        <f t="shared" si="30"/>
        <v>8.1793235254104815</v>
      </c>
    </row>
    <row r="30" spans="1:29" x14ac:dyDescent="0.3">
      <c r="A30" s="115"/>
      <c r="B30" s="214"/>
      <c r="C30" s="214"/>
      <c r="D30" s="214"/>
      <c r="E30" s="214"/>
      <c r="F30" s="214"/>
      <c r="G30" s="214"/>
      <c r="H30" s="215"/>
      <c r="I30" s="215"/>
      <c r="J30" s="215"/>
      <c r="K30" s="215"/>
      <c r="L30" s="215"/>
      <c r="M30" s="215"/>
      <c r="N30" s="214"/>
      <c r="O30" s="214"/>
      <c r="P30" s="214"/>
      <c r="Q30" s="214"/>
      <c r="R30" s="214"/>
      <c r="S30" s="214"/>
      <c r="V30" s="11">
        <v>6</v>
      </c>
      <c r="W30" s="187">
        <f>($W$27*SQRT(V30))/SQRT(3)</f>
        <v>1.131370849898476</v>
      </c>
      <c r="X30" s="11">
        <v>0.1</v>
      </c>
      <c r="Y30" s="11">
        <f t="shared" si="28"/>
        <v>5.9</v>
      </c>
      <c r="Z30" s="187">
        <f t="shared" si="29"/>
        <v>1.121903144958007</v>
      </c>
      <c r="AA30" s="188">
        <f t="shared" si="31"/>
        <v>2.6925675478992166</v>
      </c>
      <c r="AB30" s="188">
        <f t="shared" si="32"/>
        <v>4.4876125798320281</v>
      </c>
      <c r="AC30" s="188">
        <f t="shared" si="30"/>
        <v>8.9752251596640562</v>
      </c>
    </row>
    <row r="31" spans="1:29" ht="18" thickBot="1" x14ac:dyDescent="0.35">
      <c r="V31" s="11">
        <v>7</v>
      </c>
      <c r="W31" s="187">
        <f>($W$27*SQRT(V31))/SQRT(3)</f>
        <v>1.2220201853215575</v>
      </c>
      <c r="X31" s="11">
        <v>0.1</v>
      </c>
      <c r="Y31" s="11">
        <f t="shared" si="28"/>
        <v>6.9</v>
      </c>
      <c r="Z31" s="187">
        <f t="shared" si="29"/>
        <v>1.2132600710482482</v>
      </c>
      <c r="AA31" s="188">
        <f t="shared" si="31"/>
        <v>2.9118241705157955</v>
      </c>
      <c r="AB31" s="188">
        <f t="shared" si="32"/>
        <v>4.8530402841929927</v>
      </c>
      <c r="AC31" s="188">
        <f t="shared" si="30"/>
        <v>9.7060805683859854</v>
      </c>
    </row>
    <row r="32" spans="1:29" ht="18" thickBot="1" x14ac:dyDescent="0.35">
      <c r="B32" s="381">
        <v>50</v>
      </c>
      <c r="C32" s="382"/>
      <c r="D32" s="383">
        <v>75</v>
      </c>
      <c r="E32" s="400"/>
      <c r="F32" s="484">
        <v>90</v>
      </c>
      <c r="G32" s="401"/>
    </row>
    <row r="33" spans="1:29" ht="18" thickBot="1" x14ac:dyDescent="0.35">
      <c r="B33" s="204" t="s">
        <v>262</v>
      </c>
      <c r="C33" s="205" t="s">
        <v>14</v>
      </c>
      <c r="D33" s="204" t="s">
        <v>262</v>
      </c>
      <c r="E33" s="205" t="s">
        <v>14</v>
      </c>
      <c r="F33" s="204" t="s">
        <v>262</v>
      </c>
      <c r="G33" s="205" t="s">
        <v>14</v>
      </c>
      <c r="V33" s="11" t="s">
        <v>253</v>
      </c>
    </row>
    <row r="34" spans="1:29" x14ac:dyDescent="0.3">
      <c r="A34" s="481" t="s">
        <v>263</v>
      </c>
      <c r="B34" s="206">
        <v>30</v>
      </c>
      <c r="C34" s="212">
        <v>8</v>
      </c>
      <c r="D34" s="206">
        <v>30</v>
      </c>
      <c r="E34" s="212">
        <v>2</v>
      </c>
      <c r="F34" s="206">
        <v>30</v>
      </c>
      <c r="G34" s="212">
        <v>1.5</v>
      </c>
      <c r="V34" s="11" t="s">
        <v>248</v>
      </c>
      <c r="W34" s="11" t="s">
        <v>247</v>
      </c>
      <c r="X34" s="190" t="s">
        <v>249</v>
      </c>
      <c r="Y34" s="11" t="s">
        <v>250</v>
      </c>
      <c r="Z34" s="11" t="s">
        <v>247</v>
      </c>
      <c r="AA34" s="11">
        <v>30</v>
      </c>
      <c r="AB34" s="11">
        <v>50</v>
      </c>
      <c r="AC34" s="11">
        <v>100</v>
      </c>
    </row>
    <row r="35" spans="1:29" x14ac:dyDescent="0.3">
      <c r="A35" s="482"/>
      <c r="B35" s="207"/>
      <c r="C35" s="213"/>
      <c r="D35" s="207">
        <v>50</v>
      </c>
      <c r="E35" s="213">
        <v>3</v>
      </c>
      <c r="F35" s="207">
        <v>50</v>
      </c>
      <c r="G35" s="213">
        <v>2.5</v>
      </c>
      <c r="V35" s="11">
        <v>1</v>
      </c>
      <c r="W35" s="187">
        <f>($W$38*SQRT(V35))/SQRT(3)</f>
        <v>0.57735026918962584</v>
      </c>
      <c r="X35" s="11">
        <v>0</v>
      </c>
      <c r="Y35" s="11">
        <f t="shared" ref="Y35:Y42" si="33">V35-X35</f>
        <v>1</v>
      </c>
      <c r="Z35" s="187">
        <f t="shared" ref="Z35:Z42" si="34">($W$38*SQRT(Y35))/SQRT(3)</f>
        <v>0.57735026918962584</v>
      </c>
      <c r="AA35" s="188">
        <f>$AC35*($AA$34/100)</f>
        <v>1.3856406460551021</v>
      </c>
      <c r="AB35" s="188">
        <f>$AC35*($AB$34/100)</f>
        <v>2.3094010767585034</v>
      </c>
      <c r="AC35" s="188">
        <f t="shared" ref="AC35:AC42" si="35">($Z35*60000)/($B$4*$B$5)</f>
        <v>4.6188021535170067</v>
      </c>
    </row>
    <row r="36" spans="1:29" x14ac:dyDescent="0.3">
      <c r="A36" s="482"/>
      <c r="B36" s="207"/>
      <c r="C36" s="208"/>
      <c r="D36" s="207">
        <v>70</v>
      </c>
      <c r="E36" s="213">
        <v>4</v>
      </c>
      <c r="F36" s="207">
        <v>70</v>
      </c>
      <c r="G36" s="213">
        <v>3</v>
      </c>
      <c r="V36" s="11">
        <v>1.5</v>
      </c>
      <c r="W36" s="187">
        <f>($W$38*SQRT(V36))/SQRT(3)</f>
        <v>0.70710678118654746</v>
      </c>
      <c r="X36" s="11">
        <v>0.1</v>
      </c>
      <c r="Y36" s="11">
        <f t="shared" si="33"/>
        <v>1.4</v>
      </c>
      <c r="Z36" s="187">
        <f t="shared" si="34"/>
        <v>0.68313005106397329</v>
      </c>
      <c r="AA36" s="188">
        <f t="shared" ref="AA36:AA42" si="36">$AC36*($AA$23/100)</f>
        <v>1.6395121225535361</v>
      </c>
      <c r="AB36" s="188">
        <f t="shared" ref="AB36:AB42" si="37">$AC36*($AB$23/100)</f>
        <v>2.7325202042558936</v>
      </c>
      <c r="AC36" s="188">
        <f t="shared" si="35"/>
        <v>5.4650404085117872</v>
      </c>
    </row>
    <row r="37" spans="1:29" ht="18" thickBot="1" x14ac:dyDescent="0.35">
      <c r="A37" s="483"/>
      <c r="B37" s="209"/>
      <c r="C37" s="211"/>
      <c r="D37" s="209">
        <v>100</v>
      </c>
      <c r="E37" s="210">
        <v>8</v>
      </c>
      <c r="F37" s="209">
        <v>100</v>
      </c>
      <c r="G37" s="210">
        <v>3</v>
      </c>
      <c r="V37" s="11">
        <v>2</v>
      </c>
      <c r="W37" s="187">
        <f>($W$38*SQRT(V37))/SQRT(3)</f>
        <v>0.81649658092772615</v>
      </c>
      <c r="X37" s="11">
        <v>0.1</v>
      </c>
      <c r="Y37" s="11">
        <f t="shared" si="33"/>
        <v>1.9</v>
      </c>
      <c r="Z37" s="187">
        <f t="shared" si="34"/>
        <v>0.79582242575422146</v>
      </c>
      <c r="AA37" s="188">
        <f t="shared" si="36"/>
        <v>1.9099738218101314</v>
      </c>
      <c r="AB37" s="188">
        <f t="shared" si="37"/>
        <v>3.1832897030168859</v>
      </c>
      <c r="AC37" s="188">
        <f t="shared" si="35"/>
        <v>6.3665794060337717</v>
      </c>
    </row>
    <row r="38" spans="1:29" x14ac:dyDescent="0.3">
      <c r="A38" s="481" t="s">
        <v>264</v>
      </c>
      <c r="B38" s="206">
        <v>30</v>
      </c>
      <c r="C38" s="212">
        <v>4</v>
      </c>
      <c r="D38" s="206">
        <v>30</v>
      </c>
      <c r="E38" s="212">
        <v>2</v>
      </c>
      <c r="F38" s="206"/>
      <c r="G38" s="212"/>
      <c r="V38" s="11">
        <v>3</v>
      </c>
      <c r="W38" s="191">
        <v>1</v>
      </c>
      <c r="X38" s="11">
        <v>0.1</v>
      </c>
      <c r="Y38" s="11">
        <f t="shared" si="33"/>
        <v>2.9</v>
      </c>
      <c r="Z38" s="187">
        <f t="shared" si="34"/>
        <v>0.98319208025017502</v>
      </c>
      <c r="AA38" s="188">
        <f t="shared" si="36"/>
        <v>2.3596609926004199</v>
      </c>
      <c r="AB38" s="188">
        <f t="shared" si="37"/>
        <v>3.9327683210007001</v>
      </c>
      <c r="AC38" s="188">
        <f t="shared" si="35"/>
        <v>7.8655366420014001</v>
      </c>
    </row>
    <row r="39" spans="1:29" x14ac:dyDescent="0.3">
      <c r="A39" s="482"/>
      <c r="B39" s="207">
        <v>50</v>
      </c>
      <c r="C39" s="213">
        <v>6</v>
      </c>
      <c r="D39" s="207"/>
      <c r="E39" s="213"/>
      <c r="F39" s="207"/>
      <c r="G39" s="213"/>
      <c r="V39" s="11">
        <v>4</v>
      </c>
      <c r="W39" s="187">
        <f>($W$38*SQRT(V39))/SQRT(3)</f>
        <v>1.1547005383792517</v>
      </c>
      <c r="X39" s="11">
        <v>0.1</v>
      </c>
      <c r="Y39" s="11">
        <f t="shared" si="33"/>
        <v>3.9</v>
      </c>
      <c r="Z39" s="187">
        <f t="shared" si="34"/>
        <v>1.1401754250991381</v>
      </c>
      <c r="AA39" s="188">
        <f t="shared" si="36"/>
        <v>2.7364210202379313</v>
      </c>
      <c r="AB39" s="188">
        <f t="shared" si="37"/>
        <v>4.5607017003965522</v>
      </c>
      <c r="AC39" s="188">
        <f t="shared" si="35"/>
        <v>9.1214034007931044</v>
      </c>
    </row>
    <row r="40" spans="1:29" x14ac:dyDescent="0.3">
      <c r="A40" s="482"/>
      <c r="B40" s="207"/>
      <c r="C40" s="208"/>
      <c r="D40" s="207"/>
      <c r="E40" s="213"/>
      <c r="F40" s="207"/>
      <c r="G40" s="213"/>
      <c r="V40" s="11">
        <v>5</v>
      </c>
      <c r="W40" s="187">
        <f>($W$38*SQRT(V40))/SQRT(3)</f>
        <v>1.2909944487358058</v>
      </c>
      <c r="X40" s="11">
        <v>0.1</v>
      </c>
      <c r="Y40" s="11">
        <f t="shared" si="33"/>
        <v>4.9000000000000004</v>
      </c>
      <c r="Z40" s="187">
        <f t="shared" si="34"/>
        <v>1.2780193008453877</v>
      </c>
      <c r="AA40" s="188">
        <f t="shared" si="36"/>
        <v>3.0672463220289305</v>
      </c>
      <c r="AB40" s="188">
        <f t="shared" si="37"/>
        <v>5.1120772033815509</v>
      </c>
      <c r="AC40" s="188">
        <f t="shared" si="35"/>
        <v>10.224154406763102</v>
      </c>
    </row>
    <row r="41" spans="1:29" ht="18" thickBot="1" x14ac:dyDescent="0.35">
      <c r="A41" s="483"/>
      <c r="B41" s="209">
        <v>100</v>
      </c>
      <c r="C41" s="210">
        <v>8</v>
      </c>
      <c r="D41" s="209">
        <v>100</v>
      </c>
      <c r="E41" s="210">
        <v>3</v>
      </c>
      <c r="F41" s="209">
        <v>100</v>
      </c>
      <c r="G41" s="210">
        <v>2</v>
      </c>
      <c r="V41" s="11">
        <v>6</v>
      </c>
      <c r="W41" s="187">
        <f>($W$38*SQRT(V41))/SQRT(3)</f>
        <v>1.4142135623730949</v>
      </c>
      <c r="X41" s="11">
        <v>0.2</v>
      </c>
      <c r="Y41" s="11">
        <f t="shared" si="33"/>
        <v>5.8</v>
      </c>
      <c r="Z41" s="187">
        <f t="shared" si="34"/>
        <v>1.3904435743076142</v>
      </c>
      <c r="AA41" s="188">
        <f t="shared" si="36"/>
        <v>3.337064578338274</v>
      </c>
      <c r="AB41" s="188">
        <f t="shared" si="37"/>
        <v>5.5617742972304569</v>
      </c>
      <c r="AC41" s="188">
        <f t="shared" si="35"/>
        <v>11.123548594460914</v>
      </c>
    </row>
    <row r="42" spans="1:29" x14ac:dyDescent="0.3">
      <c r="B42" s="12"/>
      <c r="C42" s="12"/>
      <c r="D42" s="12"/>
      <c r="E42" s="12"/>
      <c r="F42" s="12"/>
      <c r="G42" s="12"/>
      <c r="V42" s="11">
        <v>7</v>
      </c>
      <c r="W42" s="187">
        <f>($W$38*SQRT(V42))/SQRT(3)</f>
        <v>1.5275252316519468</v>
      </c>
      <c r="X42" s="11">
        <v>0.2</v>
      </c>
      <c r="Y42" s="11">
        <f t="shared" si="33"/>
        <v>6.8</v>
      </c>
      <c r="Z42" s="187">
        <f t="shared" si="34"/>
        <v>1.505545305418162</v>
      </c>
      <c r="AA42" s="188">
        <f t="shared" si="36"/>
        <v>3.6133087330035885</v>
      </c>
      <c r="AB42" s="188">
        <f t="shared" si="37"/>
        <v>6.022181221672648</v>
      </c>
      <c r="AC42" s="188">
        <f t="shared" si="35"/>
        <v>12.044362443345296</v>
      </c>
    </row>
    <row r="43" spans="1:29" x14ac:dyDescent="0.3">
      <c r="B43" s="12"/>
      <c r="C43" s="12"/>
      <c r="D43" s="12"/>
      <c r="E43" s="12"/>
      <c r="F43" s="12"/>
      <c r="G43" s="12"/>
    </row>
    <row r="44" spans="1:29" x14ac:dyDescent="0.3">
      <c r="B44" s="12"/>
      <c r="C44" s="12"/>
      <c r="D44" s="12"/>
      <c r="E44" s="12"/>
      <c r="F44" s="12"/>
      <c r="G44" s="12"/>
      <c r="V44" s="11" t="s">
        <v>254</v>
      </c>
    </row>
    <row r="45" spans="1:29" x14ac:dyDescent="0.3">
      <c r="B45" s="12"/>
      <c r="C45" s="12"/>
      <c r="D45" s="12"/>
      <c r="E45" s="12"/>
      <c r="F45" s="12"/>
      <c r="G45" s="12"/>
      <c r="V45" s="11" t="s">
        <v>248</v>
      </c>
      <c r="W45" s="11" t="s">
        <v>247</v>
      </c>
      <c r="X45" s="190" t="s">
        <v>249</v>
      </c>
      <c r="Y45" s="11" t="s">
        <v>250</v>
      </c>
      <c r="Z45" s="11" t="s">
        <v>247</v>
      </c>
      <c r="AA45" s="11">
        <v>30</v>
      </c>
      <c r="AB45" s="11">
        <v>50</v>
      </c>
      <c r="AC45" s="11">
        <v>100</v>
      </c>
    </row>
    <row r="46" spans="1:29" x14ac:dyDescent="0.3">
      <c r="V46" s="11">
        <v>1.5</v>
      </c>
      <c r="W46" s="187">
        <f>($W$48*SQRT(V46))/SQRT(3)</f>
        <v>0.84852813742385702</v>
      </c>
      <c r="X46" s="11">
        <v>0.1</v>
      </c>
      <c r="Y46" s="11">
        <f t="shared" ref="Y46:Y52" si="38">V46-X46</f>
        <v>1.4</v>
      </c>
      <c r="Z46" s="187">
        <f t="shared" ref="Z46:Z52" si="39">($W$48*SQRT(Y46))/SQRT(3)</f>
        <v>0.81975606127676792</v>
      </c>
      <c r="AA46" s="188">
        <f t="shared" ref="AA46:AA52" si="40">$AC46*($AA$45/100)</f>
        <v>1.967414547064243</v>
      </c>
      <c r="AB46" s="188">
        <f t="shared" ref="AB46:AB52" si="41">$AC46*($AB$45/100)</f>
        <v>3.2790242451070717</v>
      </c>
      <c r="AC46" s="188">
        <f t="shared" ref="AC46:AC52" si="42">($Z46*60000)/($B$4*$B$5)</f>
        <v>6.5580484902141434</v>
      </c>
    </row>
    <row r="47" spans="1:29" x14ac:dyDescent="0.3">
      <c r="V47" s="11">
        <v>2</v>
      </c>
      <c r="W47" s="187">
        <f>($W$48*SQRT(V47))/SQRT(3)</f>
        <v>0.97979589711327131</v>
      </c>
      <c r="X47" s="11">
        <v>0.1</v>
      </c>
      <c r="Y47" s="11">
        <f t="shared" si="38"/>
        <v>1.9</v>
      </c>
      <c r="Z47" s="187">
        <f t="shared" si="39"/>
        <v>0.95498691090506571</v>
      </c>
      <c r="AA47" s="188">
        <f t="shared" si="40"/>
        <v>2.2919685861721577</v>
      </c>
      <c r="AB47" s="188">
        <f t="shared" si="41"/>
        <v>3.8199476436202628</v>
      </c>
      <c r="AC47" s="188">
        <f t="shared" si="42"/>
        <v>7.6398952872405257</v>
      </c>
    </row>
    <row r="48" spans="1:29" x14ac:dyDescent="0.3">
      <c r="V48" s="11">
        <v>3</v>
      </c>
      <c r="W48" s="191">
        <v>1.2</v>
      </c>
      <c r="X48" s="11">
        <v>0.1</v>
      </c>
      <c r="Y48" s="11">
        <f t="shared" si="38"/>
        <v>2.9</v>
      </c>
      <c r="Z48" s="187">
        <f t="shared" si="39"/>
        <v>1.17983049630021</v>
      </c>
      <c r="AA48" s="188">
        <f t="shared" si="40"/>
        <v>2.8315931911205037</v>
      </c>
      <c r="AB48" s="188">
        <f t="shared" si="41"/>
        <v>4.7193219852008399</v>
      </c>
      <c r="AC48" s="188">
        <f t="shared" si="42"/>
        <v>9.4386439704016798</v>
      </c>
    </row>
    <row r="49" spans="22:29" x14ac:dyDescent="0.3">
      <c r="V49" s="11">
        <v>4</v>
      </c>
      <c r="W49" s="187">
        <f>($W$48*SQRT(V49))/SQRT(3)</f>
        <v>1.3856406460551018</v>
      </c>
      <c r="X49" s="11">
        <v>0.1</v>
      </c>
      <c r="Y49" s="11">
        <f t="shared" si="38"/>
        <v>3.9</v>
      </c>
      <c r="Z49" s="187">
        <f t="shared" si="39"/>
        <v>1.3682105101189654</v>
      </c>
      <c r="AA49" s="188">
        <f t="shared" si="40"/>
        <v>3.2837052242855171</v>
      </c>
      <c r="AB49" s="188">
        <f t="shared" si="41"/>
        <v>5.4728420404758618</v>
      </c>
      <c r="AC49" s="188">
        <f t="shared" si="42"/>
        <v>10.945684080951724</v>
      </c>
    </row>
    <row r="50" spans="22:29" x14ac:dyDescent="0.3">
      <c r="V50" s="11">
        <v>5</v>
      </c>
      <c r="W50" s="187">
        <f>($W$48*SQRT(V50))/SQRT(3)</f>
        <v>1.5491933384829668</v>
      </c>
      <c r="X50" s="11">
        <v>0.2</v>
      </c>
      <c r="Y50" s="11">
        <f t="shared" si="38"/>
        <v>4.8</v>
      </c>
      <c r="Z50" s="187">
        <f t="shared" si="39"/>
        <v>1.517893276880822</v>
      </c>
      <c r="AA50" s="188">
        <f t="shared" si="40"/>
        <v>3.6429438645139727</v>
      </c>
      <c r="AB50" s="188">
        <f t="shared" si="41"/>
        <v>6.0715731075232879</v>
      </c>
      <c r="AC50" s="188">
        <f t="shared" si="42"/>
        <v>12.143146215046576</v>
      </c>
    </row>
    <row r="51" spans="22:29" x14ac:dyDescent="0.3">
      <c r="V51" s="11">
        <v>6</v>
      </c>
      <c r="W51" s="187">
        <f>($W$48*SQRT(V51))/SQRT(3)</f>
        <v>1.697056274847714</v>
      </c>
      <c r="X51" s="11">
        <v>0.2</v>
      </c>
      <c r="Y51" s="11">
        <f t="shared" si="38"/>
        <v>5.8</v>
      </c>
      <c r="Z51" s="187">
        <f t="shared" si="39"/>
        <v>1.668532289169137</v>
      </c>
      <c r="AA51" s="188">
        <f t="shared" si="40"/>
        <v>4.0044774940059282</v>
      </c>
      <c r="AB51" s="188">
        <f t="shared" si="41"/>
        <v>6.6741291566765479</v>
      </c>
      <c r="AC51" s="188">
        <f t="shared" si="42"/>
        <v>13.348258313353096</v>
      </c>
    </row>
    <row r="52" spans="22:29" x14ac:dyDescent="0.3">
      <c r="V52" s="11">
        <v>7</v>
      </c>
      <c r="W52" s="187">
        <f>($W$48*SQRT(V52))/SQRT(3)</f>
        <v>1.8330302779823362</v>
      </c>
      <c r="X52" s="11">
        <v>0.2</v>
      </c>
      <c r="Y52" s="11">
        <f t="shared" si="38"/>
        <v>6.8</v>
      </c>
      <c r="Z52" s="187">
        <f t="shared" si="39"/>
        <v>1.8066543665017942</v>
      </c>
      <c r="AA52" s="188">
        <f t="shared" si="40"/>
        <v>4.3359704796043061</v>
      </c>
      <c r="AB52" s="188">
        <f t="shared" si="41"/>
        <v>7.2266174660071769</v>
      </c>
      <c r="AC52" s="188">
        <f t="shared" si="42"/>
        <v>14.453234932014354</v>
      </c>
    </row>
    <row r="54" spans="22:29" x14ac:dyDescent="0.3">
      <c r="V54" s="11" t="s">
        <v>246</v>
      </c>
    </row>
    <row r="55" spans="22:29" x14ac:dyDescent="0.3">
      <c r="V55" s="11" t="s">
        <v>248</v>
      </c>
      <c r="W55" s="11" t="s">
        <v>247</v>
      </c>
      <c r="X55" s="190" t="s">
        <v>249</v>
      </c>
      <c r="Y55" s="11" t="s">
        <v>250</v>
      </c>
      <c r="Z55" s="11" t="s">
        <v>247</v>
      </c>
      <c r="AA55" s="11">
        <v>30</v>
      </c>
      <c r="AB55" s="11">
        <v>50</v>
      </c>
      <c r="AC55" s="11">
        <v>100</v>
      </c>
    </row>
    <row r="56" spans="22:29" x14ac:dyDescent="0.3">
      <c r="V56" s="11">
        <v>1.5</v>
      </c>
      <c r="W56" s="187">
        <f>($W$58*SQRT(V56))/SQRT(3)</f>
        <v>1.131370849898476</v>
      </c>
      <c r="X56" s="11">
        <v>0.1</v>
      </c>
      <c r="Y56" s="11">
        <f t="shared" ref="Y56:Y62" si="43">V56-X56</f>
        <v>1.4</v>
      </c>
      <c r="Z56" s="187">
        <f t="shared" ref="Z56:Z62" si="44">($W$58*SQRT(Y56))/SQRT(3)</f>
        <v>1.0930080817023573</v>
      </c>
      <c r="AA56" s="188">
        <f t="shared" ref="AA56:AA62" si="45">$AC56*($AA$55/100)</f>
        <v>2.6232193960856574</v>
      </c>
      <c r="AB56" s="188">
        <f t="shared" ref="AB56:AB62" si="46">$AC56*($AB$55/100)</f>
        <v>4.3720323268094292</v>
      </c>
      <c r="AC56" s="188">
        <f t="shared" ref="AC56:AC62" si="47">($Z56*60000)/($B$4*$B$5)</f>
        <v>8.7440646536188584</v>
      </c>
    </row>
    <row r="57" spans="22:29" x14ac:dyDescent="0.3">
      <c r="V57" s="11">
        <v>2</v>
      </c>
      <c r="W57" s="187">
        <f>($W$58*SQRT(V57))/SQRT(3)</f>
        <v>1.306394529484362</v>
      </c>
      <c r="X57" s="11">
        <v>0.1</v>
      </c>
      <c r="Y57" s="11">
        <f t="shared" si="43"/>
        <v>1.9</v>
      </c>
      <c r="Z57" s="187">
        <f t="shared" si="44"/>
        <v>1.2733158812067544</v>
      </c>
      <c r="AA57" s="188">
        <f t="shared" si="45"/>
        <v>3.0559581148962107</v>
      </c>
      <c r="AB57" s="188">
        <f t="shared" si="46"/>
        <v>5.0932635248270177</v>
      </c>
      <c r="AC57" s="188">
        <f t="shared" si="47"/>
        <v>10.186527049654035</v>
      </c>
    </row>
    <row r="58" spans="22:29" x14ac:dyDescent="0.3">
      <c r="V58" s="11">
        <v>3</v>
      </c>
      <c r="W58" s="191">
        <v>1.6</v>
      </c>
      <c r="X58" s="11">
        <v>0.2</v>
      </c>
      <c r="Y58" s="11">
        <f t="shared" si="43"/>
        <v>2.8</v>
      </c>
      <c r="Z58" s="187">
        <f t="shared" si="44"/>
        <v>1.5457468529268739</v>
      </c>
      <c r="AA58" s="188">
        <f t="shared" si="45"/>
        <v>3.7097924470244972</v>
      </c>
      <c r="AB58" s="188">
        <f t="shared" si="46"/>
        <v>6.1829874117074954</v>
      </c>
      <c r="AC58" s="188">
        <f t="shared" si="47"/>
        <v>12.365974823414991</v>
      </c>
    </row>
    <row r="59" spans="22:29" x14ac:dyDescent="0.3">
      <c r="V59" s="11">
        <v>4</v>
      </c>
      <c r="W59" s="187">
        <f>($W$58*SQRT(V59))/SQRT(3)</f>
        <v>1.8475208614068026</v>
      </c>
      <c r="X59" s="11">
        <v>0.2</v>
      </c>
      <c r="Y59" s="11">
        <f t="shared" si="43"/>
        <v>3.8</v>
      </c>
      <c r="Z59" s="187">
        <f t="shared" si="44"/>
        <v>1.8007405883876408</v>
      </c>
      <c r="AA59" s="188">
        <f t="shared" si="45"/>
        <v>4.3217774121303378</v>
      </c>
      <c r="AB59" s="188">
        <f t="shared" si="46"/>
        <v>7.2029623535505634</v>
      </c>
      <c r="AC59" s="188">
        <f t="shared" si="47"/>
        <v>14.405924707101127</v>
      </c>
    </row>
    <row r="60" spans="22:29" x14ac:dyDescent="0.3">
      <c r="V60" s="11">
        <v>5</v>
      </c>
      <c r="W60" s="187">
        <f>($W$58*SQRT(V60))/SQRT(3)</f>
        <v>2.0655911179772892</v>
      </c>
      <c r="X60" s="11">
        <v>0.3</v>
      </c>
      <c r="Y60" s="11">
        <f t="shared" si="43"/>
        <v>4.7</v>
      </c>
      <c r="Z60" s="187">
        <f t="shared" si="44"/>
        <v>2.002664891255316</v>
      </c>
      <c r="AA60" s="188">
        <f t="shared" si="45"/>
        <v>4.8063957390127579</v>
      </c>
      <c r="AB60" s="188">
        <f t="shared" si="46"/>
        <v>8.010659565021264</v>
      </c>
      <c r="AC60" s="188">
        <f t="shared" si="47"/>
        <v>16.021319130042528</v>
      </c>
    </row>
    <row r="61" spans="22:29" x14ac:dyDescent="0.3">
      <c r="V61" s="11">
        <v>6</v>
      </c>
      <c r="W61" s="187">
        <f>($W$58*SQRT(V61))/SQRT(3)</f>
        <v>2.2627416997969521</v>
      </c>
      <c r="X61" s="11">
        <v>0.3</v>
      </c>
      <c r="Y61" s="11">
        <f t="shared" si="43"/>
        <v>5.7</v>
      </c>
      <c r="Z61" s="187">
        <f t="shared" si="44"/>
        <v>2.2054478003344355</v>
      </c>
      <c r="AA61" s="188">
        <f t="shared" si="45"/>
        <v>5.2930747208026458</v>
      </c>
      <c r="AB61" s="188">
        <f t="shared" si="46"/>
        <v>8.821791201337744</v>
      </c>
      <c r="AC61" s="188">
        <f t="shared" si="47"/>
        <v>17.643582402675488</v>
      </c>
    </row>
    <row r="62" spans="22:29" x14ac:dyDescent="0.3">
      <c r="V62" s="11">
        <v>7</v>
      </c>
      <c r="W62" s="187">
        <f>($W$58*SQRT(V62))/SQRT(3)</f>
        <v>2.4440403706431151</v>
      </c>
      <c r="X62" s="11">
        <v>0.4</v>
      </c>
      <c r="Y62" s="11">
        <f t="shared" si="43"/>
        <v>6.6</v>
      </c>
      <c r="Z62" s="187">
        <f t="shared" si="44"/>
        <v>2.3731835158706125</v>
      </c>
      <c r="AA62" s="188">
        <f t="shared" si="45"/>
        <v>5.6956404380894696</v>
      </c>
      <c r="AB62" s="188">
        <f t="shared" si="46"/>
        <v>9.49273406348245</v>
      </c>
      <c r="AC62" s="188">
        <f t="shared" si="47"/>
        <v>18.9854681269649</v>
      </c>
    </row>
    <row r="64" spans="22:29" x14ac:dyDescent="0.3">
      <c r="V64" s="11" t="s">
        <v>255</v>
      </c>
    </row>
    <row r="65" spans="22:29" x14ac:dyDescent="0.3">
      <c r="V65" s="11" t="s">
        <v>248</v>
      </c>
      <c r="W65" s="11" t="s">
        <v>247</v>
      </c>
      <c r="X65" s="190" t="s">
        <v>249</v>
      </c>
      <c r="Y65" s="11" t="s">
        <v>250</v>
      </c>
      <c r="Z65" s="11" t="s">
        <v>247</v>
      </c>
      <c r="AA65" s="11">
        <v>30</v>
      </c>
      <c r="AB65" s="11">
        <v>50</v>
      </c>
      <c r="AC65" s="11">
        <v>100</v>
      </c>
    </row>
    <row r="66" spans="22:29" x14ac:dyDescent="0.3">
      <c r="V66" s="11">
        <v>1.5</v>
      </c>
      <c r="W66" s="187">
        <f>($W$68*SQRT(V66))/SQRT(3)</f>
        <v>1.4142135623730949</v>
      </c>
      <c r="X66" s="11">
        <v>0.2</v>
      </c>
      <c r="Y66" s="11">
        <f t="shared" ref="Y66:Y72" si="48">V66-X66</f>
        <v>1.3</v>
      </c>
      <c r="Z66" s="187">
        <f t="shared" ref="Z66:Z72" si="49">($W$68*SQRT(Y66))/SQRT(3)</f>
        <v>1.3165611772087669</v>
      </c>
      <c r="AA66" s="188">
        <f t="shared" ref="AA66:AA72" si="50">$AC66*($AA$65/100)</f>
        <v>3.1597468253010406</v>
      </c>
      <c r="AB66" s="188">
        <f t="shared" ref="AB66:AB72" si="51">$AC66*($AB$65/100)</f>
        <v>5.2662447088350675</v>
      </c>
      <c r="AC66" s="188">
        <f t="shared" ref="AC66:AC72" si="52">($Z66*60000)/($B$4*$B$5)</f>
        <v>10.532489417670135</v>
      </c>
    </row>
    <row r="67" spans="22:29" x14ac:dyDescent="0.3">
      <c r="V67" s="11">
        <v>2</v>
      </c>
      <c r="W67" s="187">
        <f>($W$68*SQRT(V67))/SQRT(3)</f>
        <v>1.6329931618554523</v>
      </c>
      <c r="X67" s="11">
        <v>0.2</v>
      </c>
      <c r="Y67" s="11">
        <f t="shared" si="48"/>
        <v>1.8</v>
      </c>
      <c r="Z67" s="187">
        <f t="shared" si="49"/>
        <v>1.5491933384829668</v>
      </c>
      <c r="AA67" s="188">
        <f t="shared" si="50"/>
        <v>3.71806401235912</v>
      </c>
      <c r="AB67" s="188">
        <f t="shared" si="51"/>
        <v>6.1967733539318672</v>
      </c>
      <c r="AC67" s="188">
        <f t="shared" si="52"/>
        <v>12.393546707863734</v>
      </c>
    </row>
    <row r="68" spans="22:29" x14ac:dyDescent="0.3">
      <c r="V68" s="11">
        <v>3</v>
      </c>
      <c r="W68" s="191">
        <v>2</v>
      </c>
      <c r="X68" s="11">
        <v>0.3</v>
      </c>
      <c r="Y68" s="11">
        <f t="shared" si="48"/>
        <v>2.7</v>
      </c>
      <c r="Z68" s="187">
        <f t="shared" si="49"/>
        <v>1.8973665961010278</v>
      </c>
      <c r="AA68" s="188">
        <f t="shared" si="50"/>
        <v>4.5536798306424666</v>
      </c>
      <c r="AB68" s="188">
        <f t="shared" si="51"/>
        <v>7.589466384404111</v>
      </c>
      <c r="AC68" s="188">
        <f t="shared" si="52"/>
        <v>15.178932768808222</v>
      </c>
    </row>
    <row r="69" spans="22:29" x14ac:dyDescent="0.3">
      <c r="V69" s="11">
        <v>4</v>
      </c>
      <c r="W69" s="187">
        <f>($W$68*SQRT(V69))/SQRT(3)</f>
        <v>2.3094010767585034</v>
      </c>
      <c r="X69" s="11">
        <v>0.3</v>
      </c>
      <c r="Y69" s="11">
        <f t="shared" si="48"/>
        <v>3.7</v>
      </c>
      <c r="Z69" s="187">
        <f t="shared" si="49"/>
        <v>2.2211108331943579</v>
      </c>
      <c r="AA69" s="188">
        <f t="shared" si="50"/>
        <v>5.3306659996664587</v>
      </c>
      <c r="AB69" s="188">
        <f t="shared" si="51"/>
        <v>8.8844433327774315</v>
      </c>
      <c r="AC69" s="188">
        <f t="shared" si="52"/>
        <v>17.768886665554863</v>
      </c>
    </row>
    <row r="70" spans="22:29" x14ac:dyDescent="0.3">
      <c r="V70" s="11">
        <v>5</v>
      </c>
      <c r="W70" s="187">
        <f>($W$68*SQRT(V70))/SQRT(3)</f>
        <v>2.5819888974716116</v>
      </c>
      <c r="X70" s="11">
        <v>0.4</v>
      </c>
      <c r="Y70" s="11">
        <f t="shared" si="48"/>
        <v>4.5999999999999996</v>
      </c>
      <c r="Z70" s="187">
        <f t="shared" si="49"/>
        <v>2.4765567494675618</v>
      </c>
      <c r="AA70" s="188">
        <f t="shared" si="50"/>
        <v>5.9437361987221484</v>
      </c>
      <c r="AB70" s="188">
        <f t="shared" si="51"/>
        <v>9.9062269978702471</v>
      </c>
      <c r="AC70" s="188">
        <f t="shared" si="52"/>
        <v>19.812453995740494</v>
      </c>
    </row>
    <row r="71" spans="22:29" x14ac:dyDescent="0.3">
      <c r="V71" s="11">
        <v>6</v>
      </c>
      <c r="W71" s="187">
        <f>($W$68*SQRT(V71))/SQRT(3)</f>
        <v>2.8284271247461898</v>
      </c>
      <c r="X71" s="11">
        <v>0.5</v>
      </c>
      <c r="Y71" s="11">
        <f t="shared" si="48"/>
        <v>5.5</v>
      </c>
      <c r="Z71" s="187">
        <f t="shared" si="49"/>
        <v>2.7080128015453204</v>
      </c>
      <c r="AA71" s="188">
        <f t="shared" si="50"/>
        <v>6.4992307237087692</v>
      </c>
      <c r="AB71" s="188">
        <f t="shared" si="51"/>
        <v>10.832051206181282</v>
      </c>
      <c r="AC71" s="188">
        <f t="shared" si="52"/>
        <v>21.664102412362563</v>
      </c>
    </row>
    <row r="72" spans="22:29" x14ac:dyDescent="0.3">
      <c r="V72" s="11">
        <v>7</v>
      </c>
      <c r="W72" s="187">
        <f>($W$68*SQRT(V72))/SQRT(3)</f>
        <v>3.0550504633038935</v>
      </c>
      <c r="X72" s="11">
        <v>0.6</v>
      </c>
      <c r="Y72" s="11">
        <f t="shared" si="48"/>
        <v>6.4</v>
      </c>
      <c r="Z72" s="187">
        <f t="shared" si="49"/>
        <v>2.9211869733608862</v>
      </c>
      <c r="AA72" s="188">
        <f t="shared" si="50"/>
        <v>7.0108487360661265</v>
      </c>
      <c r="AB72" s="188">
        <f t="shared" si="51"/>
        <v>11.684747893443545</v>
      </c>
      <c r="AC72" s="188">
        <f t="shared" si="52"/>
        <v>23.369495786887089</v>
      </c>
    </row>
    <row r="74" spans="22:29" x14ac:dyDescent="0.3">
      <c r="V74" s="11" t="s">
        <v>256</v>
      </c>
    </row>
    <row r="75" spans="22:29" x14ac:dyDescent="0.3">
      <c r="V75" s="11" t="s">
        <v>248</v>
      </c>
      <c r="W75" s="11" t="s">
        <v>247</v>
      </c>
      <c r="X75" s="190" t="s">
        <v>249</v>
      </c>
      <c r="Y75" s="11" t="s">
        <v>250</v>
      </c>
      <c r="Z75" s="11" t="s">
        <v>247</v>
      </c>
      <c r="AA75" s="11">
        <v>30</v>
      </c>
      <c r="AB75" s="11">
        <v>50</v>
      </c>
      <c r="AC75" s="11">
        <v>100</v>
      </c>
    </row>
    <row r="76" spans="22:29" x14ac:dyDescent="0.3">
      <c r="V76" s="11">
        <v>1.5</v>
      </c>
      <c r="W76" s="187">
        <f>($W$78*SQRT(V76))/SQRT(3)</f>
        <v>1.697056274847714</v>
      </c>
      <c r="X76" s="11">
        <v>0.2</v>
      </c>
      <c r="Y76" s="11">
        <f t="shared" ref="Y76:Y82" si="53">V76-X76</f>
        <v>1.3</v>
      </c>
      <c r="Z76" s="187">
        <f t="shared" ref="Z76:Z82" si="54">($W$78*SQRT(Y76))/SQRT(3)</f>
        <v>1.5798734126505201</v>
      </c>
      <c r="AA76" s="188">
        <f t="shared" ref="AA76:AA82" si="55">$AC76*($AA$75/100)</f>
        <v>3.7916961903612476</v>
      </c>
      <c r="AB76" s="188">
        <f t="shared" ref="AB76:AB82" si="56">$AC76*($AB$75/100)</f>
        <v>6.3194936506020793</v>
      </c>
      <c r="AC76" s="188">
        <f t="shared" ref="AC76:AC82" si="57">($Z76*60000)/($B$4*$B$5)</f>
        <v>12.638987301204159</v>
      </c>
    </row>
    <row r="77" spans="22:29" x14ac:dyDescent="0.3">
      <c r="V77" s="11">
        <v>2</v>
      </c>
      <c r="W77" s="187">
        <f>($W$78*SQRT(V77))/SQRT(3)</f>
        <v>1.9595917942265426</v>
      </c>
      <c r="X77" s="11">
        <v>0.3</v>
      </c>
      <c r="Y77" s="11">
        <f t="shared" si="53"/>
        <v>1.7</v>
      </c>
      <c r="Z77" s="187">
        <f t="shared" si="54"/>
        <v>1.8066543665017942</v>
      </c>
      <c r="AA77" s="188">
        <f t="shared" si="55"/>
        <v>4.3359704796043061</v>
      </c>
      <c r="AB77" s="188">
        <f t="shared" si="56"/>
        <v>7.2266174660071769</v>
      </c>
      <c r="AC77" s="188">
        <f t="shared" si="57"/>
        <v>14.453234932014354</v>
      </c>
    </row>
    <row r="78" spans="22:29" x14ac:dyDescent="0.3">
      <c r="V78" s="11">
        <v>3</v>
      </c>
      <c r="W78" s="191">
        <v>2.4</v>
      </c>
      <c r="X78" s="11">
        <v>0.4</v>
      </c>
      <c r="Y78" s="11">
        <f t="shared" si="53"/>
        <v>2.6</v>
      </c>
      <c r="Z78" s="187">
        <f t="shared" si="54"/>
        <v>2.2342784070030306</v>
      </c>
      <c r="AA78" s="188">
        <f t="shared" si="55"/>
        <v>5.3622681768072731</v>
      </c>
      <c r="AB78" s="188">
        <f t="shared" si="56"/>
        <v>8.9371136280121224</v>
      </c>
      <c r="AC78" s="188">
        <f t="shared" si="57"/>
        <v>17.874227256024245</v>
      </c>
    </row>
    <row r="79" spans="22:29" x14ac:dyDescent="0.3">
      <c r="V79" s="11">
        <v>4</v>
      </c>
      <c r="W79" s="187">
        <f>($W$78*SQRT(V79))/SQRT(3)</f>
        <v>2.7712812921102037</v>
      </c>
      <c r="X79" s="11">
        <v>0.5</v>
      </c>
      <c r="Y79" s="11">
        <f t="shared" si="53"/>
        <v>3.5</v>
      </c>
      <c r="Z79" s="187">
        <f t="shared" si="54"/>
        <v>2.5922962793631443</v>
      </c>
      <c r="AA79" s="188">
        <f t="shared" si="55"/>
        <v>6.2215110704715464</v>
      </c>
      <c r="AB79" s="188">
        <f t="shared" si="56"/>
        <v>10.369185117452577</v>
      </c>
      <c r="AC79" s="188">
        <f t="shared" si="57"/>
        <v>20.738370234905155</v>
      </c>
    </row>
    <row r="80" spans="22:29" x14ac:dyDescent="0.3">
      <c r="V80" s="11">
        <v>5</v>
      </c>
      <c r="W80" s="187">
        <f>($W$78*SQRT(V80))/SQRT(3)</f>
        <v>3.0983866769659336</v>
      </c>
      <c r="X80" s="11">
        <v>0.6</v>
      </c>
      <c r="Y80" s="11">
        <f t="shared" si="53"/>
        <v>4.4000000000000004</v>
      </c>
      <c r="Z80" s="187">
        <f t="shared" si="54"/>
        <v>2.9065443399335926</v>
      </c>
      <c r="AA80" s="188">
        <f t="shared" si="55"/>
        <v>6.9757064158406221</v>
      </c>
      <c r="AB80" s="188">
        <f t="shared" si="56"/>
        <v>11.62617735973437</v>
      </c>
      <c r="AC80" s="188">
        <f t="shared" si="57"/>
        <v>23.252354719468741</v>
      </c>
    </row>
    <row r="81" spans="22:29" x14ac:dyDescent="0.3">
      <c r="V81" s="11">
        <v>6</v>
      </c>
      <c r="W81" s="187">
        <f>($W$78*SQRT(V81))/SQRT(3)</f>
        <v>3.3941125496954281</v>
      </c>
      <c r="X81" s="11">
        <v>0.7</v>
      </c>
      <c r="Y81" s="11">
        <f t="shared" si="53"/>
        <v>5.3</v>
      </c>
      <c r="Z81" s="187">
        <f t="shared" si="54"/>
        <v>3.1899843259803013</v>
      </c>
      <c r="AA81" s="188">
        <f t="shared" si="55"/>
        <v>7.6559623823527225</v>
      </c>
      <c r="AB81" s="188">
        <f t="shared" si="56"/>
        <v>12.759937303921205</v>
      </c>
      <c r="AC81" s="188">
        <f t="shared" si="57"/>
        <v>25.519874607842411</v>
      </c>
    </row>
    <row r="82" spans="22:29" x14ac:dyDescent="0.3">
      <c r="V82" s="11">
        <v>7</v>
      </c>
      <c r="W82" s="187">
        <f>($W$78*SQRT(V82))/SQRT(3)</f>
        <v>3.6660605559646724</v>
      </c>
      <c r="X82" s="11">
        <v>0.8</v>
      </c>
      <c r="Y82" s="11">
        <f t="shared" si="53"/>
        <v>6.2</v>
      </c>
      <c r="Z82" s="187">
        <f t="shared" si="54"/>
        <v>3.4502173844556521</v>
      </c>
      <c r="AA82" s="188">
        <f t="shared" si="55"/>
        <v>8.2805217226935657</v>
      </c>
      <c r="AB82" s="188">
        <f t="shared" si="56"/>
        <v>13.80086953782261</v>
      </c>
      <c r="AC82" s="188">
        <f t="shared" si="57"/>
        <v>27.60173907564522</v>
      </c>
    </row>
    <row r="84" spans="22:29" x14ac:dyDescent="0.3">
      <c r="V84" s="11" t="s">
        <v>257</v>
      </c>
    </row>
    <row r="85" spans="22:29" x14ac:dyDescent="0.3">
      <c r="V85" s="11" t="s">
        <v>248</v>
      </c>
      <c r="W85" s="11" t="s">
        <v>247</v>
      </c>
      <c r="X85" s="190" t="s">
        <v>249</v>
      </c>
      <c r="Y85" s="11" t="s">
        <v>250</v>
      </c>
      <c r="Z85" s="11" t="s">
        <v>247</v>
      </c>
      <c r="AA85" s="11">
        <v>30</v>
      </c>
      <c r="AB85" s="11">
        <v>50</v>
      </c>
      <c r="AC85" s="11">
        <v>100</v>
      </c>
    </row>
    <row r="86" spans="22:29" x14ac:dyDescent="0.3">
      <c r="V86" s="11">
        <v>1.5</v>
      </c>
      <c r="W86" s="187">
        <f>($W$88*SQRT(V86))/SQRT(3)</f>
        <v>2.2627416997969521</v>
      </c>
      <c r="X86" s="11">
        <v>0.3</v>
      </c>
      <c r="Y86" s="11">
        <f t="shared" ref="Y86:Y92" si="58">V86-X86</f>
        <v>1.2</v>
      </c>
      <c r="Z86" s="187">
        <f t="shared" ref="Z86:Z92" si="59">($W$88*SQRT(Y86))/SQRT(3)</f>
        <v>2.0238577025077631</v>
      </c>
      <c r="AA86" s="188">
        <f t="shared" ref="AA86:AA92" si="60">$AC86*($AA$85/100)</f>
        <v>4.8572584860186314</v>
      </c>
      <c r="AB86" s="188">
        <f t="shared" ref="AB86:AB92" si="61">$AC86*($AB$85/100)</f>
        <v>8.0954308100310524</v>
      </c>
      <c r="AC86" s="188">
        <f t="shared" ref="AC86:AC92" si="62">($Z86*60000)/($B$4*$B$5)</f>
        <v>16.190861620062105</v>
      </c>
    </row>
    <row r="87" spans="22:29" x14ac:dyDescent="0.3">
      <c r="V87" s="11">
        <v>2</v>
      </c>
      <c r="W87" s="187">
        <f>($W$88*SQRT(V87))/SQRT(3)</f>
        <v>2.6127890589687239</v>
      </c>
      <c r="X87" s="11">
        <v>0.4</v>
      </c>
      <c r="Y87" s="11">
        <f t="shared" si="58"/>
        <v>1.6</v>
      </c>
      <c r="Z87" s="187">
        <f t="shared" si="59"/>
        <v>2.3369495786887091</v>
      </c>
      <c r="AA87" s="188">
        <f t="shared" si="60"/>
        <v>5.6086789888529021</v>
      </c>
      <c r="AB87" s="188">
        <f t="shared" si="61"/>
        <v>9.3477983147548365</v>
      </c>
      <c r="AC87" s="188">
        <f t="shared" si="62"/>
        <v>18.695596629509673</v>
      </c>
    </row>
    <row r="88" spans="22:29" x14ac:dyDescent="0.3">
      <c r="V88" s="11">
        <v>3</v>
      </c>
      <c r="W88" s="191">
        <v>3.2</v>
      </c>
      <c r="X88" s="11">
        <v>0.6</v>
      </c>
      <c r="Y88" s="11">
        <f t="shared" si="58"/>
        <v>2.4</v>
      </c>
      <c r="Z88" s="187">
        <f t="shared" si="59"/>
        <v>2.8621670111997313</v>
      </c>
      <c r="AA88" s="188">
        <f t="shared" si="60"/>
        <v>6.8692008268793563</v>
      </c>
      <c r="AB88" s="188">
        <f t="shared" si="61"/>
        <v>11.448668044798927</v>
      </c>
      <c r="AC88" s="188">
        <f t="shared" si="62"/>
        <v>22.897336089597854</v>
      </c>
    </row>
    <row r="89" spans="22:29" x14ac:dyDescent="0.3">
      <c r="V89" s="11">
        <v>4</v>
      </c>
      <c r="W89" s="187">
        <f>($W$88*SQRT(V89))/SQRT(3)</f>
        <v>3.6950417228136052</v>
      </c>
      <c r="X89" s="11">
        <v>0.8</v>
      </c>
      <c r="Y89" s="11">
        <f t="shared" si="58"/>
        <v>3.2</v>
      </c>
      <c r="Z89" s="187">
        <f t="shared" si="59"/>
        <v>3.3049457887636624</v>
      </c>
      <c r="AA89" s="188">
        <f t="shared" si="60"/>
        <v>7.9318698930327898</v>
      </c>
      <c r="AB89" s="188">
        <f t="shared" si="61"/>
        <v>13.21978315505465</v>
      </c>
      <c r="AC89" s="188">
        <f t="shared" si="62"/>
        <v>26.439566310109299</v>
      </c>
    </row>
    <row r="90" spans="22:29" x14ac:dyDescent="0.3">
      <c r="V90" s="11">
        <v>5</v>
      </c>
      <c r="W90" s="187">
        <f>($W$88*SQRT(V90))/SQRT(3)</f>
        <v>4.1311822359545785</v>
      </c>
      <c r="X90" s="11">
        <v>1</v>
      </c>
      <c r="Y90" s="11">
        <f t="shared" si="58"/>
        <v>4</v>
      </c>
      <c r="Z90" s="187">
        <f t="shared" si="59"/>
        <v>3.6950417228136052</v>
      </c>
      <c r="AA90" s="188">
        <f t="shared" si="60"/>
        <v>8.8681001347526518</v>
      </c>
      <c r="AB90" s="188">
        <f t="shared" si="61"/>
        <v>14.780166891254421</v>
      </c>
      <c r="AC90" s="188">
        <f t="shared" si="62"/>
        <v>29.560333782508842</v>
      </c>
    </row>
    <row r="91" spans="22:29" x14ac:dyDescent="0.3">
      <c r="V91" s="11">
        <v>6</v>
      </c>
      <c r="W91" s="187">
        <f>($W$88*SQRT(V91))/SQRT(3)</f>
        <v>4.5254833995939041</v>
      </c>
      <c r="X91" s="11">
        <v>1.2</v>
      </c>
      <c r="Y91" s="11">
        <f t="shared" si="58"/>
        <v>4.8</v>
      </c>
      <c r="Z91" s="187">
        <f t="shared" si="59"/>
        <v>4.0477154050155262</v>
      </c>
      <c r="AA91" s="188">
        <f t="shared" si="60"/>
        <v>9.7145169720372628</v>
      </c>
      <c r="AB91" s="188">
        <f t="shared" si="61"/>
        <v>16.190861620062105</v>
      </c>
      <c r="AC91" s="188">
        <f t="shared" si="62"/>
        <v>32.381723240124209</v>
      </c>
    </row>
    <row r="92" spans="22:29" x14ac:dyDescent="0.3">
      <c r="V92" s="11">
        <v>7</v>
      </c>
      <c r="W92" s="187">
        <f>($W$88*SQRT(V92))/SQRT(3)</f>
        <v>4.8880807412862302</v>
      </c>
      <c r="X92" s="11">
        <v>1.4</v>
      </c>
      <c r="Y92" s="11">
        <f t="shared" si="58"/>
        <v>5.6</v>
      </c>
      <c r="Z92" s="187">
        <f t="shared" si="59"/>
        <v>4.3720323268094292</v>
      </c>
      <c r="AA92" s="188">
        <f t="shared" si="60"/>
        <v>10.492877584342629</v>
      </c>
      <c r="AB92" s="188">
        <f t="shared" si="61"/>
        <v>17.488129307237717</v>
      </c>
      <c r="AC92" s="188">
        <f t="shared" si="62"/>
        <v>34.976258614475434</v>
      </c>
    </row>
    <row r="94" spans="22:29" x14ac:dyDescent="0.3">
      <c r="V94" s="11" t="s">
        <v>258</v>
      </c>
    </row>
    <row r="95" spans="22:29" x14ac:dyDescent="0.3">
      <c r="V95" s="11" t="s">
        <v>248</v>
      </c>
      <c r="W95" s="11" t="s">
        <v>247</v>
      </c>
      <c r="X95" s="190" t="s">
        <v>249</v>
      </c>
      <c r="Y95" s="11" t="s">
        <v>250</v>
      </c>
      <c r="Z95" s="11" t="s">
        <v>247</v>
      </c>
      <c r="AA95" s="11">
        <v>30</v>
      </c>
      <c r="AB95" s="11">
        <v>50</v>
      </c>
      <c r="AC95" s="11">
        <v>100</v>
      </c>
    </row>
    <row r="96" spans="22:29" x14ac:dyDescent="0.3">
      <c r="V96" s="11">
        <v>1.5</v>
      </c>
      <c r="W96" s="187">
        <f>($W$98*SQRT(V96))/SQRT(3)</f>
        <v>2.8284271247461898</v>
      </c>
      <c r="X96" s="11">
        <v>0.5</v>
      </c>
      <c r="Y96" s="11">
        <f t="shared" ref="Y96:Y102" si="63">V96-X96</f>
        <v>1</v>
      </c>
      <c r="Z96" s="187">
        <f t="shared" ref="Z96:Z102" si="64">($W$98*SQRT(Y96))/SQRT(3)</f>
        <v>2.3094010767585034</v>
      </c>
      <c r="AA96" s="188">
        <f t="shared" ref="AA96:AA102" si="65">$AC96*($AA$95/100)</f>
        <v>5.5425625842204083</v>
      </c>
      <c r="AB96" s="188">
        <f t="shared" ref="AB96:AB102" si="66">$AC96*($AB$95/100)</f>
        <v>9.2376043070340135</v>
      </c>
      <c r="AC96" s="188">
        <f t="shared" ref="AC96:AC102" si="67">($Z96*60000)/($B$4*$B$5)</f>
        <v>18.475208614068027</v>
      </c>
    </row>
    <row r="97" spans="22:29" x14ac:dyDescent="0.3">
      <c r="V97" s="11">
        <v>2</v>
      </c>
      <c r="W97" s="187">
        <f>($W$98*SQRT(V97))/SQRT(3)</f>
        <v>3.2659863237109046</v>
      </c>
      <c r="X97" s="11">
        <v>0.7</v>
      </c>
      <c r="Y97" s="11">
        <f t="shared" si="63"/>
        <v>1.3</v>
      </c>
      <c r="Z97" s="187">
        <f t="shared" si="64"/>
        <v>2.6331223544175337</v>
      </c>
      <c r="AA97" s="188">
        <f t="shared" si="65"/>
        <v>6.3194936506020811</v>
      </c>
      <c r="AB97" s="188">
        <f t="shared" si="66"/>
        <v>10.532489417670135</v>
      </c>
      <c r="AC97" s="188">
        <f t="shared" si="67"/>
        <v>21.06497883534027</v>
      </c>
    </row>
    <row r="98" spans="22:29" x14ac:dyDescent="0.3">
      <c r="V98" s="11">
        <v>3</v>
      </c>
      <c r="W98" s="191">
        <v>4</v>
      </c>
      <c r="X98" s="11">
        <v>1</v>
      </c>
      <c r="Y98" s="11">
        <f t="shared" si="63"/>
        <v>2</v>
      </c>
      <c r="Z98" s="187">
        <f t="shared" si="64"/>
        <v>3.2659863237109046</v>
      </c>
      <c r="AA98" s="188">
        <f t="shared" si="65"/>
        <v>7.8383671769061705</v>
      </c>
      <c r="AB98" s="188">
        <f t="shared" si="66"/>
        <v>13.063945294843618</v>
      </c>
      <c r="AC98" s="188">
        <f t="shared" si="67"/>
        <v>26.127890589687237</v>
      </c>
    </row>
    <row r="99" spans="22:29" x14ac:dyDescent="0.3">
      <c r="V99" s="11">
        <v>4</v>
      </c>
      <c r="W99" s="187">
        <f>($W$98*SQRT(V99))/SQRT(3)</f>
        <v>4.6188021535170067</v>
      </c>
      <c r="X99" s="11">
        <v>1.3</v>
      </c>
      <c r="Y99" s="11">
        <f t="shared" si="63"/>
        <v>2.7</v>
      </c>
      <c r="Z99" s="187">
        <f t="shared" si="64"/>
        <v>3.7947331922020555</v>
      </c>
      <c r="AA99" s="188">
        <f t="shared" si="65"/>
        <v>9.1073596612849332</v>
      </c>
      <c r="AB99" s="188">
        <f t="shared" si="66"/>
        <v>15.178932768808222</v>
      </c>
      <c r="AC99" s="188">
        <f t="shared" si="67"/>
        <v>30.357865537616444</v>
      </c>
    </row>
    <row r="100" spans="22:29" x14ac:dyDescent="0.3">
      <c r="V100" s="11">
        <v>5</v>
      </c>
      <c r="W100" s="187">
        <f>($W$98*SQRT(V100))/SQRT(3)</f>
        <v>5.1639777949432233</v>
      </c>
      <c r="X100" s="11">
        <v>1.6</v>
      </c>
      <c r="Y100" s="11">
        <f t="shared" si="63"/>
        <v>3.4</v>
      </c>
      <c r="Z100" s="187">
        <f t="shared" si="64"/>
        <v>4.2583251793790167</v>
      </c>
      <c r="AA100" s="188">
        <f t="shared" si="65"/>
        <v>10.21998043050964</v>
      </c>
      <c r="AB100" s="188">
        <f t="shared" si="66"/>
        <v>17.033300717516067</v>
      </c>
      <c r="AC100" s="188">
        <f t="shared" si="67"/>
        <v>34.066601435032133</v>
      </c>
    </row>
    <row r="101" spans="22:29" x14ac:dyDescent="0.3">
      <c r="V101" s="11">
        <v>6</v>
      </c>
      <c r="W101" s="187">
        <f>($W$98*SQRT(V101))/SQRT(3)</f>
        <v>5.6568542494923797</v>
      </c>
      <c r="X101" s="11">
        <v>1.9</v>
      </c>
      <c r="Y101" s="11">
        <f t="shared" si="63"/>
        <v>4.0999999999999996</v>
      </c>
      <c r="Z101" s="187">
        <f t="shared" si="64"/>
        <v>4.6761807778000479</v>
      </c>
      <c r="AA101" s="188">
        <f t="shared" si="65"/>
        <v>11.222833866720114</v>
      </c>
      <c r="AB101" s="188">
        <f t="shared" si="66"/>
        <v>18.704723111200192</v>
      </c>
      <c r="AC101" s="188">
        <f t="shared" si="67"/>
        <v>37.409446222400383</v>
      </c>
    </row>
    <row r="102" spans="22:29" x14ac:dyDescent="0.3">
      <c r="V102" s="11">
        <v>7</v>
      </c>
      <c r="W102" s="187">
        <f>($W$98*SQRT(V102))/SQRT(3)</f>
        <v>6.110100926607787</v>
      </c>
      <c r="X102" s="11">
        <v>2.2000000000000002</v>
      </c>
      <c r="Y102" s="11">
        <f t="shared" si="63"/>
        <v>4.8</v>
      </c>
      <c r="Z102" s="187">
        <f t="shared" si="64"/>
        <v>5.0596442562694071</v>
      </c>
      <c r="AA102" s="188">
        <f t="shared" si="65"/>
        <v>12.143146215046576</v>
      </c>
      <c r="AB102" s="188">
        <f t="shared" si="66"/>
        <v>20.238577025077628</v>
      </c>
      <c r="AC102" s="188">
        <f t="shared" si="67"/>
        <v>40.477154050155256</v>
      </c>
    </row>
  </sheetData>
  <sheetProtection algorithmName="SHA-512" hashValue="r0VHrXPhcKHuId3X7ZYQWqDwItXCDvAHu31dTgwIS+Qyrq9mwXZBcRGdaOnhFz9+PhGUE8A0IsLNvo9YOoC4tA==" saltValue="rXshT9FJvrQOeVBcdiu4QA==" spinCount="100000" sheet="1" objects="1" scenarios="1"/>
  <mergeCells count="16">
    <mergeCell ref="A34:A37"/>
    <mergeCell ref="A38:A41"/>
    <mergeCell ref="D10:E10"/>
    <mergeCell ref="F32:G32"/>
    <mergeCell ref="D32:E32"/>
    <mergeCell ref="B32:C32"/>
    <mergeCell ref="B10:C10"/>
    <mergeCell ref="A10:A11"/>
    <mergeCell ref="F10:G10"/>
    <mergeCell ref="R10:S10"/>
    <mergeCell ref="P4:T4"/>
    <mergeCell ref="H10:I10"/>
    <mergeCell ref="J10:K10"/>
    <mergeCell ref="L10:M10"/>
    <mergeCell ref="N10:O10"/>
    <mergeCell ref="P10:Q10"/>
  </mergeCells>
  <conditionalFormatting sqref="B8:I8 C6 H6:I6 E6 B7:C7 E7:I7">
    <cfRule type="cellIs" dxfId="4" priority="29" operator="greaterThan">
      <formula>$B$4</formula>
    </cfRule>
  </conditionalFormatting>
  <conditionalFormatting sqref="B12:S19">
    <cfRule type="cellIs" dxfId="3" priority="1" operator="between">
      <formula>3</formula>
      <formula>20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0"/>
  <sheetViews>
    <sheetView showRowColHeaders="0" zoomScale="70" zoomScaleNormal="70" workbookViewId="0"/>
  </sheetViews>
  <sheetFormatPr baseColWidth="10" defaultColWidth="11.44140625" defaultRowHeight="17.399999999999999" x14ac:dyDescent="0.3"/>
  <cols>
    <col min="1" max="1" width="21.33203125" style="11" bestFit="1" customWidth="1"/>
    <col min="2" max="19" width="15.6640625" style="11" customWidth="1"/>
    <col min="20" max="20" width="6.6640625" style="11" customWidth="1"/>
    <col min="21" max="21" width="11.44140625" style="11"/>
    <col min="22" max="25" width="11.44140625" style="11" hidden="1" customWidth="1"/>
    <col min="26" max="26" width="14.5546875" style="11" hidden="1" customWidth="1"/>
    <col min="27" max="30" width="11.44140625" style="11" hidden="1" customWidth="1"/>
    <col min="31" max="16384" width="11.44140625" style="11"/>
  </cols>
  <sheetData>
    <row r="1" spans="1:30" x14ac:dyDescent="0.3">
      <c r="A1" s="10"/>
      <c r="Y1" s="485" t="s">
        <v>269</v>
      </c>
      <c r="Z1" s="485"/>
      <c r="AA1" s="485"/>
    </row>
    <row r="2" spans="1:30" x14ac:dyDescent="0.3">
      <c r="V2" s="11" t="s">
        <v>252</v>
      </c>
      <c r="Y2" s="11" t="s">
        <v>265</v>
      </c>
    </row>
    <row r="3" spans="1:30" ht="18" thickBot="1" x14ac:dyDescent="0.35">
      <c r="V3" s="11" t="s">
        <v>248</v>
      </c>
      <c r="W3" s="11" t="s">
        <v>247</v>
      </c>
      <c r="X3" s="190" t="s">
        <v>267</v>
      </c>
      <c r="Y3" s="11" t="s">
        <v>268</v>
      </c>
      <c r="Z3" s="11" t="s">
        <v>266</v>
      </c>
      <c r="AA3" s="11" t="s">
        <v>247</v>
      </c>
      <c r="AB3" s="11">
        <v>30</v>
      </c>
      <c r="AC3" s="11">
        <v>50</v>
      </c>
      <c r="AD3" s="11">
        <v>100</v>
      </c>
    </row>
    <row r="4" spans="1:30" ht="18" thickBot="1" x14ac:dyDescent="0.35">
      <c r="A4" s="23" t="s">
        <v>56</v>
      </c>
      <c r="B4" s="8">
        <v>200</v>
      </c>
      <c r="C4" s="171"/>
      <c r="D4" s="171"/>
      <c r="E4" s="171"/>
      <c r="F4" s="24"/>
      <c r="G4" s="24"/>
      <c r="J4" s="115"/>
      <c r="K4" s="115"/>
      <c r="L4" s="115"/>
      <c r="M4" s="115"/>
      <c r="N4" s="115"/>
      <c r="O4" s="115"/>
      <c r="P4" s="428"/>
      <c r="Q4" s="428"/>
      <c r="R4" s="428"/>
      <c r="S4" s="428"/>
      <c r="T4" s="428"/>
      <c r="V4" s="11">
        <v>1</v>
      </c>
      <c r="W4" s="187">
        <f>($W$7*SQRT(V4))/SQRT(3)</f>
        <v>0.46188021535170065</v>
      </c>
      <c r="X4" s="188">
        <f t="shared" ref="X4:X10" si="0">AVERAGE(Y4:Z4)-V4</f>
        <v>7.8121086695808195E-3</v>
      </c>
      <c r="Y4" s="188">
        <v>1.0099711492173653</v>
      </c>
      <c r="Z4" s="188">
        <v>1.0056530681217963</v>
      </c>
      <c r="AA4" s="187">
        <f t="shared" ref="AA4:AA10" si="1">($W$7*SQRT(V4-X4))/SQRT(3)</f>
        <v>0.460072548790394</v>
      </c>
      <c r="AB4" s="188">
        <f>$AD4*($AB$3/100)</f>
        <v>0.8281305878227091</v>
      </c>
      <c r="AC4" s="188">
        <f>$AD4*($AC$3/100)</f>
        <v>1.3802176463711819</v>
      </c>
      <c r="AD4" s="188">
        <f t="shared" ref="AD4:AD10" si="2">($AA4*60000)/($B$4*$B$5)</f>
        <v>2.7604352927423639</v>
      </c>
    </row>
    <row r="5" spans="1:30" ht="18" thickBot="1" x14ac:dyDescent="0.35">
      <c r="A5" s="23" t="s">
        <v>61</v>
      </c>
      <c r="B5" s="29">
        <v>50</v>
      </c>
      <c r="C5" s="26">
        <f>(60000/B5)</f>
        <v>1200</v>
      </c>
      <c r="D5" s="171"/>
      <c r="E5" s="26"/>
      <c r="G5" s="173"/>
      <c r="J5" s="115"/>
      <c r="K5" s="115"/>
      <c r="L5" s="115"/>
      <c r="M5" s="115"/>
      <c r="N5" s="115"/>
      <c r="O5" s="115"/>
      <c r="P5" s="136"/>
      <c r="Q5" s="136"/>
      <c r="R5" s="117"/>
      <c r="S5" s="117"/>
      <c r="T5" s="118"/>
      <c r="V5" s="11">
        <v>1.5</v>
      </c>
      <c r="W5" s="187">
        <f>($W$7*SQRT(V5))/SQRT(3)</f>
        <v>0.56568542494923801</v>
      </c>
      <c r="X5" s="188">
        <f t="shared" si="0"/>
        <v>1.1718163004371229E-2</v>
      </c>
      <c r="Y5" s="188">
        <v>1.514956723826048</v>
      </c>
      <c r="Z5" s="188">
        <v>1.5084796021826945</v>
      </c>
      <c r="AA5" s="187">
        <f t="shared" si="1"/>
        <v>0.56347149459909174</v>
      </c>
      <c r="AB5" s="188">
        <f t="shared" ref="AB5:AB10" si="3">$AD5*($AB$3/100)</f>
        <v>1.0142486902783652</v>
      </c>
      <c r="AC5" s="188">
        <f t="shared" ref="AC5:AC10" si="4">$AD5*($AC$3/100)</f>
        <v>1.6904144837972752</v>
      </c>
      <c r="AD5" s="188">
        <f t="shared" si="2"/>
        <v>3.3808289675945504</v>
      </c>
    </row>
    <row r="6" spans="1:30" ht="18" thickBot="1" x14ac:dyDescent="0.35">
      <c r="A6" s="195" t="s">
        <v>262</v>
      </c>
      <c r="B6" s="202">
        <v>50</v>
      </c>
      <c r="C6" s="105"/>
      <c r="D6" s="173"/>
      <c r="E6" s="105"/>
      <c r="G6" s="49"/>
      <c r="H6" s="105"/>
      <c r="I6" s="105"/>
      <c r="J6" s="115"/>
      <c r="K6" s="115"/>
      <c r="L6" s="115"/>
      <c r="M6" s="115"/>
      <c r="N6" s="115"/>
      <c r="O6" s="115"/>
      <c r="P6" s="136"/>
      <c r="Q6" s="136"/>
      <c r="R6" s="117"/>
      <c r="S6" s="117"/>
      <c r="T6" s="118"/>
      <c r="V6" s="11">
        <v>2</v>
      </c>
      <c r="W6" s="187">
        <f>($W$7*SQRT(V6))/SQRT(3)</f>
        <v>0.65319726474218098</v>
      </c>
      <c r="X6" s="188">
        <f t="shared" si="0"/>
        <v>1.5624217339161639E-2</v>
      </c>
      <c r="Y6" s="188">
        <v>2.0199422984347306</v>
      </c>
      <c r="Z6" s="188">
        <v>2.0113061362435927</v>
      </c>
      <c r="AA6" s="187">
        <f t="shared" si="1"/>
        <v>0.65064083817493268</v>
      </c>
      <c r="AB6" s="188">
        <f t="shared" si="3"/>
        <v>1.1711535087148788</v>
      </c>
      <c r="AC6" s="188">
        <f t="shared" si="4"/>
        <v>1.951922514524798</v>
      </c>
      <c r="AD6" s="188">
        <f t="shared" si="2"/>
        <v>3.9038450290495961</v>
      </c>
    </row>
    <row r="7" spans="1:30" x14ac:dyDescent="0.3">
      <c r="A7" s="192"/>
      <c r="B7" s="105"/>
      <c r="C7" s="105"/>
      <c r="D7" s="49"/>
      <c r="E7" s="105"/>
      <c r="F7" s="105"/>
      <c r="G7" s="105"/>
      <c r="H7" s="105"/>
      <c r="I7" s="105"/>
      <c r="J7" s="115"/>
      <c r="K7" s="115"/>
      <c r="L7" s="115"/>
      <c r="M7" s="115"/>
      <c r="N7" s="115"/>
      <c r="O7" s="115"/>
      <c r="P7" s="136"/>
      <c r="Q7" s="136"/>
      <c r="R7" s="117"/>
      <c r="S7" s="117"/>
      <c r="T7" s="118"/>
      <c r="V7" s="11">
        <v>3</v>
      </c>
      <c r="W7" s="191">
        <v>0.8</v>
      </c>
      <c r="X7" s="188">
        <f t="shared" si="0"/>
        <v>2.3436326008742014E-2</v>
      </c>
      <c r="Y7" s="188">
        <v>3.0299134476520955</v>
      </c>
      <c r="Z7" s="188">
        <v>3.016959204365389</v>
      </c>
      <c r="AA7" s="187">
        <f t="shared" si="1"/>
        <v>0.79686902967267381</v>
      </c>
      <c r="AB7" s="188">
        <f t="shared" si="3"/>
        <v>1.434364253410813</v>
      </c>
      <c r="AC7" s="188">
        <f t="shared" si="4"/>
        <v>2.3906070890180215</v>
      </c>
      <c r="AD7" s="188">
        <f t="shared" si="2"/>
        <v>4.7812141780360431</v>
      </c>
    </row>
    <row r="8" spans="1:30" x14ac:dyDescent="0.3">
      <c r="A8" s="192"/>
      <c r="B8" s="105"/>
      <c r="C8" s="105"/>
      <c r="D8" s="105"/>
      <c r="E8" s="105"/>
      <c r="F8" s="105"/>
      <c r="G8" s="105"/>
      <c r="H8" s="105"/>
      <c r="I8" s="105"/>
      <c r="J8" s="115"/>
      <c r="K8" s="115"/>
      <c r="L8" s="115"/>
      <c r="M8" s="115"/>
      <c r="N8" s="115"/>
      <c r="O8" s="115"/>
      <c r="P8" s="136"/>
      <c r="Q8" s="136"/>
      <c r="R8" s="117"/>
      <c r="S8" s="117"/>
      <c r="T8" s="118"/>
      <c r="V8" s="11">
        <v>4</v>
      </c>
      <c r="W8" s="187">
        <f>($W$7*SQRT(V8))/SQRT(3)</f>
        <v>0.9237604307034013</v>
      </c>
      <c r="X8" s="188">
        <f t="shared" si="0"/>
        <v>3.1248434678323278E-2</v>
      </c>
      <c r="Y8" s="188">
        <v>4.0398845968694612</v>
      </c>
      <c r="Z8" s="188">
        <v>4.0226122724871853</v>
      </c>
      <c r="AA8" s="187">
        <f t="shared" si="1"/>
        <v>0.920145097580788</v>
      </c>
      <c r="AB8" s="188">
        <f t="shared" si="3"/>
        <v>1.6562611756454182</v>
      </c>
      <c r="AC8" s="188">
        <f t="shared" si="4"/>
        <v>2.7604352927423639</v>
      </c>
      <c r="AD8" s="188">
        <f t="shared" si="2"/>
        <v>5.5208705854847278</v>
      </c>
    </row>
    <row r="9" spans="1:30" ht="18" thickBot="1" x14ac:dyDescent="0.35">
      <c r="A9" s="115"/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36"/>
      <c r="Q9" s="136"/>
      <c r="R9" s="117"/>
      <c r="S9" s="117"/>
      <c r="T9" s="118"/>
      <c r="V9" s="11">
        <v>5</v>
      </c>
      <c r="W9" s="187">
        <f>($W$7*SQRT(V9))/SQRT(3)</f>
        <v>1.0327955589886446</v>
      </c>
      <c r="X9" s="188">
        <f t="shared" si="0"/>
        <v>3.9060543347904542E-2</v>
      </c>
      <c r="Y9" s="188">
        <v>5.0498557460868261</v>
      </c>
      <c r="Z9" s="188">
        <v>5.0282653406089821</v>
      </c>
      <c r="AA9" s="187">
        <f t="shared" si="1"/>
        <v>1.0287534936769096</v>
      </c>
      <c r="AB9" s="188">
        <f t="shared" si="3"/>
        <v>1.8517562886184371</v>
      </c>
      <c r="AC9" s="188">
        <f t="shared" si="4"/>
        <v>3.0862604810307288</v>
      </c>
      <c r="AD9" s="188">
        <f t="shared" si="2"/>
        <v>6.1725209620614576</v>
      </c>
    </row>
    <row r="10" spans="1:30" ht="18" thickBot="1" x14ac:dyDescent="0.35">
      <c r="A10" s="463" t="s">
        <v>260</v>
      </c>
      <c r="B10" s="469" t="s">
        <v>166</v>
      </c>
      <c r="C10" s="470"/>
      <c r="D10" s="471" t="s">
        <v>167</v>
      </c>
      <c r="E10" s="472"/>
      <c r="F10" s="473" t="s">
        <v>168</v>
      </c>
      <c r="G10" s="474"/>
      <c r="H10" s="475" t="s">
        <v>169</v>
      </c>
      <c r="I10" s="476"/>
      <c r="J10" s="477" t="s">
        <v>170</v>
      </c>
      <c r="K10" s="478"/>
      <c r="L10" s="479" t="s">
        <v>171</v>
      </c>
      <c r="M10" s="480"/>
      <c r="N10" s="461" t="s">
        <v>172</v>
      </c>
      <c r="O10" s="462"/>
      <c r="T10" s="118"/>
      <c r="V10" s="11">
        <v>6</v>
      </c>
      <c r="W10" s="187">
        <f>($W$7*SQRT(V10))/SQRT(3)</f>
        <v>1.131370849898476</v>
      </c>
      <c r="X10" s="188">
        <f t="shared" si="0"/>
        <v>4.6872652017484917E-2</v>
      </c>
      <c r="Y10" s="188">
        <v>6.0598268953041918</v>
      </c>
      <c r="Z10" s="188">
        <v>6.033918408730778</v>
      </c>
      <c r="AA10" s="187">
        <f t="shared" si="1"/>
        <v>1.1269429891981835</v>
      </c>
      <c r="AB10" s="188">
        <f t="shared" si="3"/>
        <v>2.0284973805567303</v>
      </c>
      <c r="AC10" s="188">
        <f t="shared" si="4"/>
        <v>3.3808289675945504</v>
      </c>
      <c r="AD10" s="188">
        <f t="shared" si="2"/>
        <v>6.7616579351891009</v>
      </c>
    </row>
    <row r="11" spans="1:30" ht="18" thickBot="1" x14ac:dyDescent="0.35">
      <c r="A11" s="464"/>
      <c r="B11" s="203">
        <f>$B$6</f>
        <v>50</v>
      </c>
      <c r="C11" s="203">
        <v>100</v>
      </c>
      <c r="D11" s="203">
        <f>$B$6</f>
        <v>50</v>
      </c>
      <c r="E11" s="203">
        <v>100</v>
      </c>
      <c r="F11" s="203">
        <f>$B$6</f>
        <v>50</v>
      </c>
      <c r="G11" s="203">
        <v>100</v>
      </c>
      <c r="H11" s="203">
        <f>$B$6</f>
        <v>50</v>
      </c>
      <c r="I11" s="203">
        <v>100</v>
      </c>
      <c r="J11" s="203">
        <f>$B$6</f>
        <v>50</v>
      </c>
      <c r="K11" s="203">
        <v>100</v>
      </c>
      <c r="L11" s="203">
        <f>$B$6</f>
        <v>50</v>
      </c>
      <c r="M11" s="203">
        <v>100</v>
      </c>
      <c r="N11" s="203">
        <f>$B$6</f>
        <v>50</v>
      </c>
      <c r="O11" s="203">
        <v>100</v>
      </c>
      <c r="T11" s="118"/>
    </row>
    <row r="12" spans="1:30" x14ac:dyDescent="0.3">
      <c r="A12" s="199">
        <v>1</v>
      </c>
      <c r="B12" s="196">
        <f t="shared" ref="B12:B18" si="5">C12*(B$11/100)</f>
        <v>1.3802176463711819</v>
      </c>
      <c r="C12" s="196">
        <f t="shared" ref="C12:C18" si="6">AD4</f>
        <v>2.7604352927423639</v>
      </c>
      <c r="D12" s="196">
        <f t="shared" ref="D12:D18" si="7">E12*(D$11/100)</f>
        <v>1.7214472808109287</v>
      </c>
      <c r="E12" s="196">
        <f t="shared" ref="E12:E18" si="8">AD14</f>
        <v>3.4428945616218574</v>
      </c>
      <c r="F12" s="196">
        <f t="shared" ref="F12:F18" si="9">G12*(F$11/100)</f>
        <v>2.0601131774083852</v>
      </c>
      <c r="G12" s="196">
        <f t="shared" ref="G12:G18" si="10">AD24</f>
        <v>4.1202263548167704</v>
      </c>
      <c r="H12" s="196">
        <f t="shared" ref="H12:H18" si="11">I12*(H$11/100)</f>
        <v>2.7276385430753982</v>
      </c>
      <c r="I12" s="197">
        <f t="shared" ref="I12:I18" si="12">AD34</f>
        <v>5.4552770861507964</v>
      </c>
      <c r="J12" s="197">
        <f t="shared" ref="J12:J18" si="13">K12*(J$11/100)</f>
        <v>3.3784747815813927</v>
      </c>
      <c r="K12" s="197">
        <f t="shared" ref="K12:K18" si="14">AD44</f>
        <v>6.7569495631627854</v>
      </c>
      <c r="L12" s="197">
        <f t="shared" ref="L12:L18" si="15">M12*(L$11/100)</f>
        <v>4.008124356816638</v>
      </c>
      <c r="M12" s="197">
        <f t="shared" ref="M12:M18" si="16">AD54</f>
        <v>8.0162487136332761</v>
      </c>
      <c r="N12" s="197">
        <f t="shared" ref="N12:N18" si="17">O12*(N$11/100)</f>
        <v>5.1846111085333728</v>
      </c>
      <c r="O12" s="197">
        <f t="shared" ref="O12:O18" si="18">AD64</f>
        <v>10.369222217066746</v>
      </c>
      <c r="T12" s="118"/>
      <c r="V12" s="11" t="s">
        <v>253</v>
      </c>
      <c r="Y12" s="11" t="s">
        <v>265</v>
      </c>
    </row>
    <row r="13" spans="1:30" x14ac:dyDescent="0.3">
      <c r="A13" s="200">
        <v>1.5</v>
      </c>
      <c r="B13" s="197">
        <f t="shared" si="5"/>
        <v>1.6904144837972752</v>
      </c>
      <c r="C13" s="197">
        <f t="shared" si="6"/>
        <v>3.3808289675945504</v>
      </c>
      <c r="D13" s="197">
        <f t="shared" si="7"/>
        <v>2.1083337285441814</v>
      </c>
      <c r="E13" s="197">
        <f t="shared" si="8"/>
        <v>4.2166674570883629</v>
      </c>
      <c r="F13" s="197">
        <f t="shared" si="9"/>
        <v>2.5231130485171516</v>
      </c>
      <c r="G13" s="197">
        <f t="shared" si="10"/>
        <v>5.0462260970343031</v>
      </c>
      <c r="H13" s="197">
        <f t="shared" si="11"/>
        <v>3.3406613166416195</v>
      </c>
      <c r="I13" s="197">
        <f t="shared" si="12"/>
        <v>6.6813226332832389</v>
      </c>
      <c r="J13" s="197">
        <f t="shared" si="13"/>
        <v>4.1377696618676296</v>
      </c>
      <c r="K13" s="197">
        <f t="shared" si="14"/>
        <v>8.2755393237352592</v>
      </c>
      <c r="L13" s="197">
        <f t="shared" si="15"/>
        <v>4.9089297499108904</v>
      </c>
      <c r="M13" s="197">
        <f t="shared" si="16"/>
        <v>9.8178594998217807</v>
      </c>
      <c r="N13" s="197">
        <f t="shared" si="17"/>
        <v>6.3498258653361086</v>
      </c>
      <c r="O13" s="197">
        <f t="shared" si="18"/>
        <v>12.699651730672217</v>
      </c>
      <c r="V13" s="11" t="s">
        <v>248</v>
      </c>
      <c r="W13" s="11" t="s">
        <v>247</v>
      </c>
      <c r="X13" s="190" t="s">
        <v>267</v>
      </c>
      <c r="Y13" s="11" t="s">
        <v>268</v>
      </c>
      <c r="Z13" s="11" t="s">
        <v>266</v>
      </c>
      <c r="AA13" s="11" t="s">
        <v>247</v>
      </c>
      <c r="AB13" s="11">
        <v>30</v>
      </c>
      <c r="AC13" s="11">
        <v>50</v>
      </c>
      <c r="AD13" s="11">
        <v>100</v>
      </c>
    </row>
    <row r="14" spans="1:30" x14ac:dyDescent="0.3">
      <c r="A14" s="200">
        <v>2</v>
      </c>
      <c r="B14" s="197">
        <f t="shared" si="5"/>
        <v>1.951922514524798</v>
      </c>
      <c r="C14" s="197">
        <f t="shared" si="6"/>
        <v>3.9038450290495961</v>
      </c>
      <c r="D14" s="197">
        <f t="shared" si="7"/>
        <v>2.434494091433101</v>
      </c>
      <c r="E14" s="197">
        <f t="shared" si="8"/>
        <v>4.8689881828662021</v>
      </c>
      <c r="F14" s="197">
        <f t="shared" si="9"/>
        <v>2.913439995514469</v>
      </c>
      <c r="G14" s="197">
        <f t="shared" si="10"/>
        <v>5.8268799910289379</v>
      </c>
      <c r="H14" s="197">
        <f t="shared" si="11"/>
        <v>3.8574634208688177</v>
      </c>
      <c r="I14" s="197">
        <f t="shared" si="12"/>
        <v>7.7149268417376353</v>
      </c>
      <c r="J14" s="197">
        <f t="shared" si="13"/>
        <v>4.7778848562478862</v>
      </c>
      <c r="K14" s="197">
        <f t="shared" si="14"/>
        <v>9.5557697124957723</v>
      </c>
      <c r="L14" s="197">
        <f t="shared" si="15"/>
        <v>5.6683438250880291</v>
      </c>
      <c r="M14" s="197">
        <f t="shared" si="16"/>
        <v>11.336687650176058</v>
      </c>
      <c r="N14" s="197">
        <f t="shared" si="17"/>
        <v>7.3321473453181039</v>
      </c>
      <c r="O14" s="197">
        <f t="shared" si="18"/>
        <v>14.664294690636208</v>
      </c>
      <c r="V14" s="11">
        <v>1</v>
      </c>
      <c r="W14" s="187">
        <f>($W$17*SQRT(V14))/SQRT(3)</f>
        <v>0.57735026918962584</v>
      </c>
      <c r="X14" s="188">
        <f t="shared" ref="X14:X20" si="19">AVERAGE(Y14:Z14)-V14</f>
        <v>1.2206419796219947E-2</v>
      </c>
      <c r="Y14" s="188">
        <v>1.0155799206521332</v>
      </c>
      <c r="Z14" s="188">
        <v>1.0088329189403069</v>
      </c>
      <c r="AA14" s="187">
        <f t="shared" ref="AA14:AA20" si="20">($W$17*SQRT(V14-X14))/SQRT(3)</f>
        <v>0.57381576027030956</v>
      </c>
      <c r="AB14" s="188">
        <f>$AD14*($AB$13/100)</f>
        <v>1.0328683684865572</v>
      </c>
      <c r="AC14" s="188">
        <f>$AD14*($AC$13/100)</f>
        <v>1.7214472808109287</v>
      </c>
      <c r="AD14" s="188">
        <f t="shared" ref="AD14:AD20" si="21">($AA14*60000)/($B$4*$B$5)</f>
        <v>3.4428945616218574</v>
      </c>
    </row>
    <row r="15" spans="1:30" x14ac:dyDescent="0.3">
      <c r="A15" s="200">
        <v>3</v>
      </c>
      <c r="B15" s="197">
        <f t="shared" si="5"/>
        <v>2.3906070890180215</v>
      </c>
      <c r="C15" s="197">
        <f t="shared" si="6"/>
        <v>4.7812141780360431</v>
      </c>
      <c r="D15" s="197">
        <f t="shared" si="7"/>
        <v>2.981634152915817</v>
      </c>
      <c r="E15" s="197">
        <f t="shared" si="8"/>
        <v>5.963268305831634</v>
      </c>
      <c r="F15" s="197">
        <f t="shared" si="9"/>
        <v>3.5682206926134801</v>
      </c>
      <c r="G15" s="197">
        <f t="shared" si="10"/>
        <v>7.1364413852269601</v>
      </c>
      <c r="H15" s="197">
        <f t="shared" si="11"/>
        <v>4.7244085412897387</v>
      </c>
      <c r="I15" s="197">
        <f t="shared" si="12"/>
        <v>9.4488170825794775</v>
      </c>
      <c r="J15" s="197">
        <f t="shared" si="13"/>
        <v>5.8516899737891386</v>
      </c>
      <c r="K15" s="197">
        <f t="shared" si="14"/>
        <v>11.703379947578277</v>
      </c>
      <c r="L15" s="197">
        <f t="shared" si="15"/>
        <v>6.9422750290607462</v>
      </c>
      <c r="M15" s="197">
        <f t="shared" si="16"/>
        <v>13.884550058121492</v>
      </c>
      <c r="N15" s="197">
        <f t="shared" si="17"/>
        <v>8.9800098574658005</v>
      </c>
      <c r="O15" s="197">
        <f t="shared" si="18"/>
        <v>17.960019714931601</v>
      </c>
      <c r="V15" s="11">
        <v>1.5</v>
      </c>
      <c r="W15" s="187">
        <f>($W$17*SQRT(V15))/SQRT(3)</f>
        <v>0.70710678118654746</v>
      </c>
      <c r="X15" s="188">
        <f t="shared" si="19"/>
        <v>1.8309629694329921E-2</v>
      </c>
      <c r="Y15" s="188">
        <v>1.5233698809781997</v>
      </c>
      <c r="Z15" s="188">
        <v>1.5132493784104604</v>
      </c>
      <c r="AA15" s="187">
        <f t="shared" si="20"/>
        <v>0.70277790951472718</v>
      </c>
      <c r="AB15" s="188">
        <f t="shared" ref="AB15:AB20" si="22">$AD15*($AB$3/100)</f>
        <v>1.2650002371265088</v>
      </c>
      <c r="AC15" s="188">
        <f t="shared" ref="AC15:AC20" si="23">$AD15*($AC$3/100)</f>
        <v>2.1083337285441814</v>
      </c>
      <c r="AD15" s="188">
        <f t="shared" si="21"/>
        <v>4.2166674570883629</v>
      </c>
    </row>
    <row r="16" spans="1:30" x14ac:dyDescent="0.3">
      <c r="A16" s="200">
        <v>4</v>
      </c>
      <c r="B16" s="197">
        <f t="shared" si="5"/>
        <v>2.7604352927423639</v>
      </c>
      <c r="C16" s="197">
        <f t="shared" si="6"/>
        <v>5.5208705854847278</v>
      </c>
      <c r="D16" s="197">
        <f t="shared" si="7"/>
        <v>3.4428945616218574</v>
      </c>
      <c r="E16" s="197">
        <f t="shared" si="8"/>
        <v>6.8857891232437147</v>
      </c>
      <c r="F16" s="197">
        <f t="shared" si="9"/>
        <v>4.1202263548167704</v>
      </c>
      <c r="G16" s="197">
        <f t="shared" si="10"/>
        <v>8.2404527096335407</v>
      </c>
      <c r="H16" s="197">
        <f t="shared" si="11"/>
        <v>5.4552770861507964</v>
      </c>
      <c r="I16" s="197">
        <f t="shared" si="12"/>
        <v>10.910554172301593</v>
      </c>
      <c r="J16" s="197">
        <f t="shared" si="13"/>
        <v>6.7569495631627854</v>
      </c>
      <c r="K16" s="197">
        <f t="shared" si="14"/>
        <v>13.513899126325571</v>
      </c>
      <c r="L16" s="197">
        <f t="shared" si="15"/>
        <v>8.0162487136332761</v>
      </c>
      <c r="M16" s="197">
        <f t="shared" si="16"/>
        <v>16.032497427266552</v>
      </c>
      <c r="N16" s="197">
        <f t="shared" si="17"/>
        <v>10.369222217066746</v>
      </c>
      <c r="O16" s="197">
        <f t="shared" si="18"/>
        <v>20.738444434133491</v>
      </c>
      <c r="V16" s="11">
        <v>2</v>
      </c>
      <c r="W16" s="187">
        <f>($W$17*SQRT(V16))/SQRT(3)</f>
        <v>0.81649658092772615</v>
      </c>
      <c r="X16" s="188">
        <f t="shared" si="19"/>
        <v>2.4412839592439894E-2</v>
      </c>
      <c r="Y16" s="188">
        <v>2.0311598413042664</v>
      </c>
      <c r="Z16" s="188">
        <v>2.0176658378806138</v>
      </c>
      <c r="AA16" s="187">
        <f t="shared" si="20"/>
        <v>0.81149803047770042</v>
      </c>
      <c r="AB16" s="188">
        <f t="shared" si="22"/>
        <v>1.4606964548598607</v>
      </c>
      <c r="AC16" s="188">
        <f t="shared" si="23"/>
        <v>2.434494091433101</v>
      </c>
      <c r="AD16" s="188">
        <f t="shared" si="21"/>
        <v>4.8689881828662021</v>
      </c>
    </row>
    <row r="17" spans="1:30" x14ac:dyDescent="0.3">
      <c r="A17" s="200">
        <v>5</v>
      </c>
      <c r="B17" s="197">
        <f t="shared" si="5"/>
        <v>3.0862604810307288</v>
      </c>
      <c r="C17" s="197">
        <f t="shared" si="6"/>
        <v>6.1725209620614576</v>
      </c>
      <c r="D17" s="197">
        <f t="shared" si="7"/>
        <v>3.8492731395754061</v>
      </c>
      <c r="E17" s="197">
        <f t="shared" si="8"/>
        <v>7.6985462791508121</v>
      </c>
      <c r="F17" s="197">
        <f t="shared" si="9"/>
        <v>4.6065531060282341</v>
      </c>
      <c r="G17" s="197">
        <f t="shared" si="10"/>
        <v>9.2131062120564682</v>
      </c>
      <c r="H17" s="197">
        <f t="shared" si="11"/>
        <v>6.0991852003650786</v>
      </c>
      <c r="I17" s="197">
        <f t="shared" si="12"/>
        <v>12.198370400730157</v>
      </c>
      <c r="J17" s="197">
        <f t="shared" si="13"/>
        <v>7.554499271884751</v>
      </c>
      <c r="K17" s="197">
        <f t="shared" si="14"/>
        <v>15.108998543769502</v>
      </c>
      <c r="L17" s="197">
        <f t="shared" si="15"/>
        <v>8.9624385241146278</v>
      </c>
      <c r="M17" s="197">
        <f t="shared" si="16"/>
        <v>17.924877048229256</v>
      </c>
      <c r="N17" s="197">
        <f t="shared" si="17"/>
        <v>11.593142875581165</v>
      </c>
      <c r="O17" s="197">
        <f t="shared" si="18"/>
        <v>23.18628575116233</v>
      </c>
      <c r="V17" s="11">
        <v>3</v>
      </c>
      <c r="W17" s="191">
        <v>1</v>
      </c>
      <c r="X17" s="188">
        <f t="shared" si="19"/>
        <v>3.6619259388659842E-2</v>
      </c>
      <c r="Y17" s="188">
        <v>3.0467397619563994</v>
      </c>
      <c r="Z17" s="188">
        <v>3.0264987568209207</v>
      </c>
      <c r="AA17" s="187">
        <f t="shared" si="20"/>
        <v>0.99387805097193904</v>
      </c>
      <c r="AB17" s="188">
        <f t="shared" si="22"/>
        <v>1.7889804917494903</v>
      </c>
      <c r="AC17" s="188">
        <f t="shared" si="23"/>
        <v>2.981634152915817</v>
      </c>
      <c r="AD17" s="188">
        <f t="shared" si="21"/>
        <v>5.963268305831634</v>
      </c>
    </row>
    <row r="18" spans="1:30" ht="18" thickBot="1" x14ac:dyDescent="0.35">
      <c r="A18" s="200">
        <v>6</v>
      </c>
      <c r="B18" s="198">
        <f t="shared" si="5"/>
        <v>3.3808289675945504</v>
      </c>
      <c r="C18" s="198">
        <f t="shared" si="6"/>
        <v>6.7616579351891009</v>
      </c>
      <c r="D18" s="198">
        <f t="shared" si="7"/>
        <v>4.2166674570883629</v>
      </c>
      <c r="E18" s="198">
        <f t="shared" si="8"/>
        <v>8.4333349141767258</v>
      </c>
      <c r="F18" s="198">
        <f t="shared" si="9"/>
        <v>5.0462260970343031</v>
      </c>
      <c r="G18" s="198">
        <f t="shared" si="10"/>
        <v>10.092452194068606</v>
      </c>
      <c r="H18" s="198">
        <f t="shared" si="11"/>
        <v>6.6813226332832389</v>
      </c>
      <c r="I18" s="198">
        <f t="shared" si="12"/>
        <v>13.362645266566478</v>
      </c>
      <c r="J18" s="198">
        <f t="shared" si="13"/>
        <v>8.2755393237352592</v>
      </c>
      <c r="K18" s="198">
        <f t="shared" si="14"/>
        <v>16.551078647470518</v>
      </c>
      <c r="L18" s="198">
        <f t="shared" si="15"/>
        <v>9.8178594998217807</v>
      </c>
      <c r="M18" s="198">
        <f t="shared" si="16"/>
        <v>19.635718999643561</v>
      </c>
      <c r="N18" s="198">
        <f t="shared" si="17"/>
        <v>12.699651730672217</v>
      </c>
      <c r="O18" s="198">
        <f t="shared" si="18"/>
        <v>25.399303461344434</v>
      </c>
      <c r="V18" s="11">
        <v>4</v>
      </c>
      <c r="W18" s="187">
        <f>($W$17*SQRT(V18))/SQRT(3)</f>
        <v>1.1547005383792517</v>
      </c>
      <c r="X18" s="188">
        <f t="shared" si="19"/>
        <v>4.8825679184879789E-2</v>
      </c>
      <c r="Y18" s="188">
        <v>4.0623196826085328</v>
      </c>
      <c r="Z18" s="188">
        <v>4.0353316757612276</v>
      </c>
      <c r="AA18" s="187">
        <f t="shared" si="20"/>
        <v>1.1476315205406191</v>
      </c>
      <c r="AB18" s="188">
        <f t="shared" si="22"/>
        <v>2.0657367369731143</v>
      </c>
      <c r="AC18" s="188">
        <f t="shared" si="23"/>
        <v>3.4428945616218574</v>
      </c>
      <c r="AD18" s="188">
        <f t="shared" si="21"/>
        <v>6.8857891232437147</v>
      </c>
    </row>
    <row r="19" spans="1:30" x14ac:dyDescent="0.3">
      <c r="F19" s="187"/>
      <c r="G19" s="187"/>
      <c r="L19" s="187"/>
      <c r="M19" s="187"/>
      <c r="N19" s="188"/>
      <c r="O19" s="188"/>
      <c r="V19" s="11">
        <v>5</v>
      </c>
      <c r="W19" s="187">
        <f>($W$17*SQRT(V19))/SQRT(3)</f>
        <v>1.2909944487358058</v>
      </c>
      <c r="X19" s="188">
        <f t="shared" si="19"/>
        <v>6.1032098981099736E-2</v>
      </c>
      <c r="Y19" s="188">
        <v>5.0778996032606658</v>
      </c>
      <c r="Z19" s="188">
        <v>5.0441645947015346</v>
      </c>
      <c r="AA19" s="187">
        <f t="shared" si="20"/>
        <v>1.2830910465251353</v>
      </c>
      <c r="AB19" s="188">
        <f t="shared" si="22"/>
        <v>2.3095638837452435</v>
      </c>
      <c r="AC19" s="188">
        <f t="shared" si="23"/>
        <v>3.8492731395754061</v>
      </c>
      <c r="AD19" s="188">
        <f t="shared" si="21"/>
        <v>7.6985462791508121</v>
      </c>
    </row>
    <row r="20" spans="1:30" x14ac:dyDescent="0.3">
      <c r="F20" s="187"/>
      <c r="G20" s="187"/>
      <c r="L20" s="187"/>
      <c r="M20" s="187"/>
      <c r="N20" s="188"/>
      <c r="O20" s="188"/>
      <c r="P20" s="188"/>
      <c r="Q20" s="188"/>
      <c r="R20" s="188"/>
      <c r="S20" s="188"/>
      <c r="V20" s="11">
        <v>6</v>
      </c>
      <c r="W20" s="187">
        <f>($W$17*SQRT(V20))/SQRT(3)</f>
        <v>1.4142135623730949</v>
      </c>
      <c r="X20" s="188">
        <f t="shared" si="19"/>
        <v>7.3238518777319683E-2</v>
      </c>
      <c r="Y20" s="188">
        <v>6.0934795239127988</v>
      </c>
      <c r="Z20" s="188">
        <v>6.0529975136418415</v>
      </c>
      <c r="AA20" s="187">
        <f t="shared" si="20"/>
        <v>1.4055558190294544</v>
      </c>
      <c r="AB20" s="188">
        <f t="shared" si="22"/>
        <v>2.5300004742530176</v>
      </c>
      <c r="AC20" s="188">
        <f t="shared" si="23"/>
        <v>4.2166674570883629</v>
      </c>
      <c r="AD20" s="188">
        <f t="shared" si="21"/>
        <v>8.4333349141767258</v>
      </c>
    </row>
    <row r="21" spans="1:30" x14ac:dyDescent="0.3">
      <c r="B21" s="216"/>
      <c r="E21" s="216"/>
      <c r="F21" s="187"/>
      <c r="G21" s="187"/>
      <c r="L21" s="187"/>
      <c r="M21" s="187"/>
      <c r="N21" s="188"/>
      <c r="O21" s="188"/>
      <c r="P21" s="188"/>
      <c r="Q21" s="188"/>
      <c r="R21" s="189"/>
      <c r="S21" s="189"/>
    </row>
    <row r="22" spans="1:30" x14ac:dyDescent="0.3">
      <c r="F22" s="187"/>
      <c r="G22" s="187"/>
      <c r="L22" s="187"/>
      <c r="M22" s="187"/>
      <c r="N22" s="188"/>
      <c r="O22" s="188"/>
      <c r="P22" s="188"/>
      <c r="Q22" s="188"/>
      <c r="R22" s="189"/>
      <c r="S22" s="189"/>
      <c r="V22" s="11" t="s">
        <v>254</v>
      </c>
      <c r="Y22" s="11" t="s">
        <v>265</v>
      </c>
    </row>
    <row r="23" spans="1:30" x14ac:dyDescent="0.3">
      <c r="L23" s="187"/>
      <c r="M23" s="187"/>
      <c r="N23" s="188"/>
      <c r="O23" s="188"/>
      <c r="P23" s="188"/>
      <c r="Q23" s="188"/>
      <c r="R23" s="189"/>
      <c r="S23" s="189"/>
      <c r="V23" s="11" t="s">
        <v>248</v>
      </c>
      <c r="W23" s="11" t="s">
        <v>247</v>
      </c>
      <c r="X23" s="190" t="s">
        <v>267</v>
      </c>
      <c r="Y23" s="11" t="s">
        <v>268</v>
      </c>
      <c r="Z23" s="11" t="s">
        <v>266</v>
      </c>
      <c r="AA23" s="11" t="s">
        <v>247</v>
      </c>
      <c r="AB23" s="11">
        <v>30</v>
      </c>
      <c r="AC23" s="11">
        <v>50</v>
      </c>
      <c r="AD23" s="11">
        <v>100</v>
      </c>
    </row>
    <row r="24" spans="1:30" x14ac:dyDescent="0.3">
      <c r="P24" s="188"/>
      <c r="Q24" s="188"/>
      <c r="R24" s="189"/>
      <c r="S24" s="189"/>
      <c r="V24" s="11">
        <v>1</v>
      </c>
      <c r="W24" s="187">
        <f>($W$27*SQRT(V24))/SQRT(3)</f>
        <v>0.69282032302755092</v>
      </c>
      <c r="X24" s="188">
        <f t="shared" ref="X24:X30" si="24">AVERAGE(Y24:Z24)-V24</f>
        <v>1.7577244506556955E-2</v>
      </c>
      <c r="Y24" s="188">
        <v>1.0224350857390718</v>
      </c>
      <c r="Z24" s="188">
        <v>1.0127194032740419</v>
      </c>
      <c r="AA24" s="187">
        <f t="shared" ref="AA24:AA30" si="25">($W$27*SQRT(V24-X24))/SQRT(3)</f>
        <v>0.6867043924694618</v>
      </c>
      <c r="AB24" s="188">
        <f t="shared" ref="AB24:AB30" si="26">$AD24*($AB$23/100)</f>
        <v>1.2360679064450311</v>
      </c>
      <c r="AC24" s="188">
        <f t="shared" ref="AC24:AC30" si="27">$AD24*($AC$23/100)</f>
        <v>2.0601131774083852</v>
      </c>
      <c r="AD24" s="188">
        <f t="shared" ref="AD24:AD30" si="28">($AA24*60000)/($B$4*$B$5)</f>
        <v>4.1202263548167704</v>
      </c>
    </row>
    <row r="25" spans="1:30" x14ac:dyDescent="0.3">
      <c r="V25" s="11">
        <v>1.5</v>
      </c>
      <c r="W25" s="187">
        <f>($W$27*SQRT(V25))/SQRT(3)</f>
        <v>0.84852813742385702</v>
      </c>
      <c r="X25" s="188">
        <f t="shared" si="24"/>
        <v>2.636586675983521E-2</v>
      </c>
      <c r="Y25" s="188">
        <v>1.5336526286086076</v>
      </c>
      <c r="Z25" s="188">
        <v>1.5190791049110628</v>
      </c>
      <c r="AA25" s="187">
        <f t="shared" si="25"/>
        <v>0.84103768283905045</v>
      </c>
      <c r="AB25" s="188">
        <f t="shared" si="26"/>
        <v>1.5138678291102909</v>
      </c>
      <c r="AC25" s="188">
        <f t="shared" si="27"/>
        <v>2.5231130485171516</v>
      </c>
      <c r="AD25" s="188">
        <f t="shared" si="28"/>
        <v>5.0462260970343031</v>
      </c>
    </row>
    <row r="26" spans="1:30" x14ac:dyDescent="0.3">
      <c r="V26" s="11">
        <v>2</v>
      </c>
      <c r="W26" s="187">
        <f>($W$27*SQRT(V26))/SQRT(3)</f>
        <v>0.97979589711327131</v>
      </c>
      <c r="X26" s="188">
        <f t="shared" si="24"/>
        <v>3.515448901311391E-2</v>
      </c>
      <c r="Y26" s="188">
        <v>2.0448701714781437</v>
      </c>
      <c r="Z26" s="188">
        <v>2.0254388065480837</v>
      </c>
      <c r="AA26" s="187">
        <f t="shared" si="25"/>
        <v>0.97114666517148973</v>
      </c>
      <c r="AB26" s="188">
        <f t="shared" si="26"/>
        <v>1.7480639973086813</v>
      </c>
      <c r="AC26" s="188">
        <f t="shared" si="27"/>
        <v>2.913439995514469</v>
      </c>
      <c r="AD26" s="188">
        <f t="shared" si="28"/>
        <v>5.8268799910289379</v>
      </c>
    </row>
    <row r="27" spans="1:30" x14ac:dyDescent="0.3">
      <c r="V27" s="11">
        <v>3</v>
      </c>
      <c r="W27" s="191">
        <v>1.2</v>
      </c>
      <c r="X27" s="188">
        <f t="shared" si="24"/>
        <v>5.2731733519670421E-2</v>
      </c>
      <c r="Y27" s="188">
        <v>3.0673052572172153</v>
      </c>
      <c r="Z27" s="188">
        <v>3.0381582098221256</v>
      </c>
      <c r="AA27" s="187">
        <f t="shared" si="25"/>
        <v>1.1894068975378267</v>
      </c>
      <c r="AB27" s="188">
        <f t="shared" si="26"/>
        <v>2.1409324155680878</v>
      </c>
      <c r="AC27" s="188">
        <f t="shared" si="27"/>
        <v>3.5682206926134801</v>
      </c>
      <c r="AD27" s="188">
        <f t="shared" si="28"/>
        <v>7.1364413852269601</v>
      </c>
    </row>
    <row r="28" spans="1:30" x14ac:dyDescent="0.3">
      <c r="V28" s="11">
        <v>4</v>
      </c>
      <c r="W28" s="187">
        <f>($W$27*SQRT(V28))/SQRT(3)</f>
        <v>1.3856406460551018</v>
      </c>
      <c r="X28" s="188">
        <f t="shared" si="24"/>
        <v>7.030897802622782E-2</v>
      </c>
      <c r="Y28" s="188">
        <v>4.0897403429562873</v>
      </c>
      <c r="Z28" s="188">
        <v>4.0508776130961675</v>
      </c>
      <c r="AA28" s="187">
        <f t="shared" si="25"/>
        <v>1.3734087849389236</v>
      </c>
      <c r="AB28" s="188">
        <f t="shared" si="26"/>
        <v>2.4721358128900621</v>
      </c>
      <c r="AC28" s="188">
        <f t="shared" si="27"/>
        <v>4.1202263548167704</v>
      </c>
      <c r="AD28" s="188">
        <f t="shared" si="28"/>
        <v>8.2404527096335407</v>
      </c>
    </row>
    <row r="29" spans="1:30" x14ac:dyDescent="0.3">
      <c r="A29" s="115"/>
      <c r="V29" s="11">
        <v>5</v>
      </c>
      <c r="W29" s="187">
        <f>($W$27*SQRT(V29))/SQRT(3)</f>
        <v>1.5491933384829668</v>
      </c>
      <c r="X29" s="188">
        <f t="shared" si="24"/>
        <v>8.788622253278433E-2</v>
      </c>
      <c r="Y29" s="188">
        <v>5.1121754286953589</v>
      </c>
      <c r="Z29" s="188">
        <v>5.0635970163702089</v>
      </c>
      <c r="AA29" s="187">
        <f t="shared" si="25"/>
        <v>1.5355177020094115</v>
      </c>
      <c r="AB29" s="188">
        <f t="shared" si="26"/>
        <v>2.7639318636169405</v>
      </c>
      <c r="AC29" s="188">
        <f t="shared" si="27"/>
        <v>4.6065531060282341</v>
      </c>
      <c r="AD29" s="188">
        <f t="shared" si="28"/>
        <v>9.2131062120564682</v>
      </c>
    </row>
    <row r="30" spans="1:30" x14ac:dyDescent="0.3">
      <c r="V30" s="11">
        <v>6</v>
      </c>
      <c r="W30" s="187">
        <f>($W$27*SQRT(V30))/SQRT(3)</f>
        <v>1.697056274847714</v>
      </c>
      <c r="X30" s="188">
        <f t="shared" si="24"/>
        <v>0.10546346703934084</v>
      </c>
      <c r="Y30" s="188">
        <v>6.1346105144344305</v>
      </c>
      <c r="Z30" s="188">
        <v>6.0763164196442512</v>
      </c>
      <c r="AA30" s="187">
        <f t="shared" si="25"/>
        <v>1.6820753656781009</v>
      </c>
      <c r="AB30" s="188">
        <f t="shared" si="26"/>
        <v>3.0277356582205819</v>
      </c>
      <c r="AC30" s="188">
        <f t="shared" si="27"/>
        <v>5.0462260970343031</v>
      </c>
      <c r="AD30" s="188">
        <f t="shared" si="28"/>
        <v>10.092452194068606</v>
      </c>
    </row>
    <row r="32" spans="1:30" x14ac:dyDescent="0.3">
      <c r="V32" s="11" t="s">
        <v>246</v>
      </c>
      <c r="Y32" s="11" t="s">
        <v>265</v>
      </c>
    </row>
    <row r="33" spans="22:30" x14ac:dyDescent="0.3">
      <c r="V33" s="11" t="s">
        <v>248</v>
      </c>
      <c r="W33" s="11" t="s">
        <v>247</v>
      </c>
      <c r="X33" s="190" t="s">
        <v>267</v>
      </c>
      <c r="Y33" s="11" t="s">
        <v>268</v>
      </c>
      <c r="Z33" s="11" t="s">
        <v>266</v>
      </c>
      <c r="AA33" s="11" t="s">
        <v>247</v>
      </c>
      <c r="AB33" s="11">
        <v>30</v>
      </c>
      <c r="AC33" s="11">
        <v>50</v>
      </c>
      <c r="AD33" s="11">
        <v>100</v>
      </c>
    </row>
    <row r="34" spans="22:30" x14ac:dyDescent="0.3">
      <c r="V34" s="11">
        <v>1</v>
      </c>
      <c r="W34" s="187">
        <f>($W$37*SQRT(V34))/SQRT(3)</f>
        <v>0.9237604307034013</v>
      </c>
      <c r="X34" s="188">
        <f t="shared" ref="X34:X40" si="29">AVERAGE(Y34:Z34)-V34</f>
        <v>3.1248434678323278E-2</v>
      </c>
      <c r="Y34" s="188">
        <v>1.039884596869461</v>
      </c>
      <c r="Z34" s="188">
        <v>1.0226122724871856</v>
      </c>
      <c r="AA34" s="187">
        <f t="shared" ref="AA34:AA40" si="30">($W$37*SQRT(V34-X34))/SQRT(3)</f>
        <v>0.90921284769179933</v>
      </c>
      <c r="AB34" s="188">
        <f t="shared" ref="AB34:AB40" si="31">$AD34*($AB$33/100)</f>
        <v>1.6365831258452388</v>
      </c>
      <c r="AC34" s="188">
        <f t="shared" ref="AC34:AC40" si="32">$AD34*($AC$33/100)</f>
        <v>2.7276385430753982</v>
      </c>
      <c r="AD34" s="188">
        <f t="shared" ref="AD34:AD40" si="33">($AA34*60000)/($B$4*$B$5)</f>
        <v>5.4552770861507964</v>
      </c>
    </row>
    <row r="35" spans="22:30" x14ac:dyDescent="0.3">
      <c r="V35" s="11">
        <v>1.5</v>
      </c>
      <c r="W35" s="187">
        <f>($W$37*SQRT(V35))/SQRT(3)</f>
        <v>1.131370849898476</v>
      </c>
      <c r="X35" s="188">
        <f t="shared" si="29"/>
        <v>4.6872652017484917E-2</v>
      </c>
      <c r="Y35" s="188">
        <v>1.5598268953041914</v>
      </c>
      <c r="Z35" s="188">
        <v>1.5339184087307782</v>
      </c>
      <c r="AA35" s="187">
        <f t="shared" si="30"/>
        <v>1.1135537722138731</v>
      </c>
      <c r="AB35" s="188">
        <f t="shared" si="31"/>
        <v>2.0043967899849715</v>
      </c>
      <c r="AC35" s="188">
        <f t="shared" si="32"/>
        <v>3.3406613166416195</v>
      </c>
      <c r="AD35" s="188">
        <f t="shared" si="33"/>
        <v>6.6813226332832389</v>
      </c>
    </row>
    <row r="36" spans="22:30" x14ac:dyDescent="0.3">
      <c r="V36" s="11">
        <v>2</v>
      </c>
      <c r="W36" s="187">
        <f>($W$37*SQRT(V36))/SQRT(3)</f>
        <v>1.306394529484362</v>
      </c>
      <c r="X36" s="188">
        <f t="shared" si="29"/>
        <v>6.2496869356646556E-2</v>
      </c>
      <c r="Y36" s="188">
        <v>2.079769193738922</v>
      </c>
      <c r="Z36" s="188">
        <v>2.0452245449743711</v>
      </c>
      <c r="AA36" s="187">
        <f t="shared" si="30"/>
        <v>1.2858211402896058</v>
      </c>
      <c r="AB36" s="188">
        <f t="shared" si="31"/>
        <v>2.3144780525212907</v>
      </c>
      <c r="AC36" s="188">
        <f t="shared" si="32"/>
        <v>3.8574634208688177</v>
      </c>
      <c r="AD36" s="188">
        <f t="shared" si="33"/>
        <v>7.7149268417376353</v>
      </c>
    </row>
    <row r="37" spans="22:30" x14ac:dyDescent="0.3">
      <c r="V37" s="11">
        <v>3</v>
      </c>
      <c r="W37" s="191">
        <v>1.6</v>
      </c>
      <c r="X37" s="188">
        <f t="shared" si="29"/>
        <v>9.3745304034969834E-2</v>
      </c>
      <c r="Y37" s="188">
        <v>3.1196537906083828</v>
      </c>
      <c r="Z37" s="188">
        <v>3.0678368174615565</v>
      </c>
      <c r="AA37" s="187">
        <f t="shared" si="30"/>
        <v>1.5748028470965796</v>
      </c>
      <c r="AB37" s="188">
        <f t="shared" si="31"/>
        <v>2.8346451247738433</v>
      </c>
      <c r="AC37" s="188">
        <f t="shared" si="32"/>
        <v>4.7244085412897387</v>
      </c>
      <c r="AD37" s="188">
        <f t="shared" si="33"/>
        <v>9.4488170825794775</v>
      </c>
    </row>
    <row r="38" spans="22:30" x14ac:dyDescent="0.3">
      <c r="V38" s="11">
        <v>4</v>
      </c>
      <c r="W38" s="187">
        <f>($W$37*SQRT(V38))/SQRT(3)</f>
        <v>1.8475208614068026</v>
      </c>
      <c r="X38" s="188">
        <f t="shared" si="29"/>
        <v>0.12499373871329311</v>
      </c>
      <c r="Y38" s="188">
        <v>4.159538387477844</v>
      </c>
      <c r="Z38" s="188">
        <v>4.0904490899487422</v>
      </c>
      <c r="AA38" s="187">
        <f t="shared" si="30"/>
        <v>1.8184256953835987</v>
      </c>
      <c r="AB38" s="188">
        <f t="shared" si="31"/>
        <v>3.2731662516904776</v>
      </c>
      <c r="AC38" s="188">
        <f t="shared" si="32"/>
        <v>5.4552770861507964</v>
      </c>
      <c r="AD38" s="188">
        <f t="shared" si="33"/>
        <v>10.910554172301593</v>
      </c>
    </row>
    <row r="39" spans="22:30" x14ac:dyDescent="0.3">
      <c r="V39" s="11">
        <v>5</v>
      </c>
      <c r="W39" s="187">
        <f>($W$37*SQRT(V39))/SQRT(3)</f>
        <v>2.0655911179772892</v>
      </c>
      <c r="X39" s="188">
        <f t="shared" si="29"/>
        <v>0.15624217339161639</v>
      </c>
      <c r="Y39" s="188">
        <v>5.1994229843473043</v>
      </c>
      <c r="Z39" s="188">
        <v>5.1130613624359276</v>
      </c>
      <c r="AA39" s="187">
        <f t="shared" si="30"/>
        <v>2.0330617334550261</v>
      </c>
      <c r="AB39" s="188">
        <f t="shared" si="31"/>
        <v>3.6595111202190469</v>
      </c>
      <c r="AC39" s="188">
        <f t="shared" si="32"/>
        <v>6.0991852003650786</v>
      </c>
      <c r="AD39" s="188">
        <f t="shared" si="33"/>
        <v>12.198370400730157</v>
      </c>
    </row>
    <row r="40" spans="22:30" x14ac:dyDescent="0.3">
      <c r="V40" s="11">
        <v>6</v>
      </c>
      <c r="W40" s="187">
        <f>($W$37*SQRT(V40))/SQRT(3)</f>
        <v>2.2627416997969521</v>
      </c>
      <c r="X40" s="188">
        <f t="shared" si="29"/>
        <v>0.18749060806993967</v>
      </c>
      <c r="Y40" s="188">
        <v>6.2393075812167655</v>
      </c>
      <c r="Z40" s="188">
        <v>6.1356736349231129</v>
      </c>
      <c r="AA40" s="187">
        <f t="shared" si="30"/>
        <v>2.2271075444277462</v>
      </c>
      <c r="AB40" s="188">
        <f t="shared" si="31"/>
        <v>4.008793579969943</v>
      </c>
      <c r="AC40" s="188">
        <f t="shared" si="32"/>
        <v>6.6813226332832389</v>
      </c>
      <c r="AD40" s="188">
        <f t="shared" si="33"/>
        <v>13.362645266566478</v>
      </c>
    </row>
    <row r="42" spans="22:30" x14ac:dyDescent="0.3">
      <c r="V42" s="11" t="s">
        <v>255</v>
      </c>
      <c r="Y42" s="11" t="s">
        <v>265</v>
      </c>
    </row>
    <row r="43" spans="22:30" x14ac:dyDescent="0.3">
      <c r="V43" s="11" t="s">
        <v>248</v>
      </c>
      <c r="W43" s="11" t="s">
        <v>247</v>
      </c>
      <c r="X43" s="190" t="s">
        <v>267</v>
      </c>
      <c r="Y43" s="11" t="s">
        <v>268</v>
      </c>
      <c r="Z43" s="11" t="s">
        <v>266</v>
      </c>
      <c r="AA43" s="11" t="s">
        <v>247</v>
      </c>
      <c r="AB43" s="11">
        <v>30</v>
      </c>
      <c r="AC43" s="11">
        <v>50</v>
      </c>
      <c r="AD43" s="11">
        <v>100</v>
      </c>
    </row>
    <row r="44" spans="22:30" x14ac:dyDescent="0.3">
      <c r="V44" s="11">
        <v>1</v>
      </c>
      <c r="W44" s="187">
        <f>($W$47*SQRT(V44))/SQRT(3)</f>
        <v>1.1547005383792517</v>
      </c>
      <c r="X44" s="188">
        <f t="shared" ref="X44:X50" si="34">AVERAGE(Y44:Z44)-V44</f>
        <v>4.8825679184880011E-2</v>
      </c>
      <c r="Y44" s="188">
        <v>1.0623196826085326</v>
      </c>
      <c r="Z44" s="188">
        <v>1.0353316757612274</v>
      </c>
      <c r="AA44" s="187">
        <f t="shared" ref="AA44:AA50" si="35">($W$47*SQRT(V44-X44))/SQRT(3)</f>
        <v>1.126158260527131</v>
      </c>
      <c r="AB44" s="188">
        <f t="shared" ref="AB44:AB50" si="36">$AD44*($AB$43/100)</f>
        <v>2.0270848689488354</v>
      </c>
      <c r="AC44" s="188">
        <f t="shared" ref="AC44:AC50" si="37">$AD44*($AC$43/100)</f>
        <v>3.3784747815813927</v>
      </c>
      <c r="AD44" s="188">
        <f t="shared" ref="AD44:AD50" si="38">($AA44*60000)/($B$4*$B$5)</f>
        <v>6.7569495631627854</v>
      </c>
    </row>
    <row r="45" spans="22:30" x14ac:dyDescent="0.3">
      <c r="V45" s="11">
        <v>1.5</v>
      </c>
      <c r="W45" s="187">
        <f>($W$47*SQRT(V45))/SQRT(3)</f>
        <v>1.4142135623730949</v>
      </c>
      <c r="X45" s="188">
        <f t="shared" si="34"/>
        <v>7.3238518777320127E-2</v>
      </c>
      <c r="Y45" s="188">
        <v>1.593479523912799</v>
      </c>
      <c r="Z45" s="188">
        <v>1.552997513641841</v>
      </c>
      <c r="AA45" s="187">
        <f t="shared" si="35"/>
        <v>1.3792565539558765</v>
      </c>
      <c r="AB45" s="188">
        <f t="shared" si="36"/>
        <v>2.4826617971205778</v>
      </c>
      <c r="AC45" s="188">
        <f t="shared" si="37"/>
        <v>4.1377696618676296</v>
      </c>
      <c r="AD45" s="188">
        <f t="shared" si="38"/>
        <v>8.2755393237352592</v>
      </c>
    </row>
    <row r="46" spans="22:30" x14ac:dyDescent="0.3">
      <c r="V46" s="11">
        <v>2</v>
      </c>
      <c r="W46" s="187">
        <f>($W$47*SQRT(V46))/SQRT(3)</f>
        <v>1.6329931618554523</v>
      </c>
      <c r="X46" s="188">
        <f t="shared" si="34"/>
        <v>9.7651358369760022E-2</v>
      </c>
      <c r="Y46" s="188">
        <v>2.1246393652170652</v>
      </c>
      <c r="Z46" s="188">
        <v>2.0706633515224548</v>
      </c>
      <c r="AA46" s="187">
        <f t="shared" si="35"/>
        <v>1.5926282854159619</v>
      </c>
      <c r="AB46" s="188">
        <f t="shared" si="36"/>
        <v>2.8667309137487318</v>
      </c>
      <c r="AC46" s="188">
        <f t="shared" si="37"/>
        <v>4.7778848562478862</v>
      </c>
      <c r="AD46" s="188">
        <f t="shared" si="38"/>
        <v>9.5557697124957723</v>
      </c>
    </row>
    <row r="47" spans="22:30" x14ac:dyDescent="0.3">
      <c r="V47" s="11">
        <v>3</v>
      </c>
      <c r="W47" s="191">
        <v>2</v>
      </c>
      <c r="X47" s="188">
        <f t="shared" si="34"/>
        <v>0.14647703755464025</v>
      </c>
      <c r="Y47" s="188">
        <v>3.186959047825598</v>
      </c>
      <c r="Z47" s="188">
        <v>3.105995027283682</v>
      </c>
      <c r="AA47" s="187">
        <f t="shared" si="35"/>
        <v>1.9505633245963794</v>
      </c>
      <c r="AB47" s="188">
        <f t="shared" si="36"/>
        <v>3.5110139842734829</v>
      </c>
      <c r="AC47" s="188">
        <f t="shared" si="37"/>
        <v>5.8516899737891386</v>
      </c>
      <c r="AD47" s="188">
        <f t="shared" si="38"/>
        <v>11.703379947578277</v>
      </c>
    </row>
    <row r="48" spans="22:30" x14ac:dyDescent="0.3">
      <c r="V48" s="11">
        <v>4</v>
      </c>
      <c r="W48" s="187">
        <f>($W$47*SQRT(V48))/SQRT(3)</f>
        <v>2.3094010767585034</v>
      </c>
      <c r="X48" s="188">
        <f t="shared" si="34"/>
        <v>0.19530271673952004</v>
      </c>
      <c r="Y48" s="188">
        <v>4.2492787304341304</v>
      </c>
      <c r="Z48" s="188">
        <v>4.1413267030449097</v>
      </c>
      <c r="AA48" s="187">
        <f t="shared" si="35"/>
        <v>2.2523165210542619</v>
      </c>
      <c r="AB48" s="188">
        <f t="shared" si="36"/>
        <v>4.0541697378976709</v>
      </c>
      <c r="AC48" s="188">
        <f t="shared" si="37"/>
        <v>6.7569495631627854</v>
      </c>
      <c r="AD48" s="188">
        <f t="shared" si="38"/>
        <v>13.513899126325571</v>
      </c>
    </row>
    <row r="49" spans="22:30" x14ac:dyDescent="0.3">
      <c r="V49" s="11">
        <v>5</v>
      </c>
      <c r="W49" s="187">
        <f>($W$47*SQRT(V49))/SQRT(3)</f>
        <v>2.5819888974716116</v>
      </c>
      <c r="X49" s="188">
        <f t="shared" si="34"/>
        <v>0.24412839592439983</v>
      </c>
      <c r="Y49" s="188">
        <v>5.3115984130426632</v>
      </c>
      <c r="Z49" s="188">
        <v>5.1766583788061364</v>
      </c>
      <c r="AA49" s="187">
        <f t="shared" si="35"/>
        <v>2.5181664239615835</v>
      </c>
      <c r="AB49" s="188">
        <f t="shared" si="36"/>
        <v>4.5326995631308504</v>
      </c>
      <c r="AC49" s="188">
        <f t="shared" si="37"/>
        <v>7.554499271884751</v>
      </c>
      <c r="AD49" s="188">
        <f t="shared" si="38"/>
        <v>15.108998543769502</v>
      </c>
    </row>
    <row r="50" spans="22:30" x14ac:dyDescent="0.3">
      <c r="V50" s="11">
        <v>6</v>
      </c>
      <c r="W50" s="187">
        <f>($W$47*SQRT(V50))/SQRT(3)</f>
        <v>2.8284271247461898</v>
      </c>
      <c r="X50" s="188">
        <f t="shared" si="34"/>
        <v>0.29295407510928051</v>
      </c>
      <c r="Y50" s="188">
        <v>6.373918095651196</v>
      </c>
      <c r="Z50" s="188">
        <v>6.2119900545673641</v>
      </c>
      <c r="AA50" s="187">
        <f t="shared" si="35"/>
        <v>2.7585131079117531</v>
      </c>
      <c r="AB50" s="188">
        <f t="shared" si="36"/>
        <v>4.9653235942411555</v>
      </c>
      <c r="AC50" s="188">
        <f t="shared" si="37"/>
        <v>8.2755393237352592</v>
      </c>
      <c r="AD50" s="188">
        <f t="shared" si="38"/>
        <v>16.551078647470518</v>
      </c>
    </row>
    <row r="52" spans="22:30" x14ac:dyDescent="0.3">
      <c r="V52" s="11" t="s">
        <v>256</v>
      </c>
      <c r="Y52" s="11" t="s">
        <v>265</v>
      </c>
    </row>
    <row r="53" spans="22:30" x14ac:dyDescent="0.3">
      <c r="V53" s="11" t="s">
        <v>248</v>
      </c>
      <c r="W53" s="11" t="s">
        <v>247</v>
      </c>
      <c r="X53" s="190" t="s">
        <v>267</v>
      </c>
      <c r="Y53" s="11" t="s">
        <v>268</v>
      </c>
      <c r="Z53" s="11" t="s">
        <v>266</v>
      </c>
      <c r="AA53" s="11" t="s">
        <v>247</v>
      </c>
      <c r="AB53" s="11">
        <v>30</v>
      </c>
      <c r="AC53" s="11">
        <v>50</v>
      </c>
      <c r="AD53" s="11">
        <v>100</v>
      </c>
    </row>
    <row r="54" spans="22:30" x14ac:dyDescent="0.3">
      <c r="V54" s="11">
        <v>1</v>
      </c>
      <c r="W54" s="187">
        <f>($W$57*SQRT(V54))/SQRT(3)</f>
        <v>1.3856406460551018</v>
      </c>
      <c r="X54" s="188">
        <f t="shared" ref="X54:X60" si="39">AVERAGE(Y54:Z54)-V54</f>
        <v>7.0308978026227376E-2</v>
      </c>
      <c r="Y54" s="188">
        <v>1.0897403429562871</v>
      </c>
      <c r="Z54" s="188">
        <v>1.0508776130961675</v>
      </c>
      <c r="AA54" s="187">
        <f t="shared" ref="AA54:AA60" si="40">($W$57*SQRT(V54-X54))/SQRT(3)</f>
        <v>1.3360414522722126</v>
      </c>
      <c r="AB54" s="188">
        <f t="shared" ref="AB54:AB60" si="41">$AD54*($AB$53/100)</f>
        <v>2.4048746140899828</v>
      </c>
      <c r="AC54" s="188">
        <f t="shared" ref="AC54:AC60" si="42">$AD54*($AC$53/100)</f>
        <v>4.008124356816638</v>
      </c>
      <c r="AD54" s="188">
        <f t="shared" ref="AD54:AD60" si="43">($AA54*60000)/($B$4*$B$5)</f>
        <v>8.0162487136332761</v>
      </c>
    </row>
    <row r="55" spans="22:30" x14ac:dyDescent="0.3">
      <c r="V55" s="11">
        <v>1.5</v>
      </c>
      <c r="W55" s="187">
        <f>($W$57*SQRT(V55))/SQRT(3)</f>
        <v>1.697056274847714</v>
      </c>
      <c r="X55" s="188">
        <f t="shared" si="39"/>
        <v>0.10546346703934084</v>
      </c>
      <c r="Y55" s="188">
        <v>1.6346105144344305</v>
      </c>
      <c r="Z55" s="188">
        <v>1.5763164196442512</v>
      </c>
      <c r="AA55" s="187">
        <f t="shared" si="40"/>
        <v>1.6363099166369632</v>
      </c>
      <c r="AB55" s="188">
        <f t="shared" si="41"/>
        <v>2.945357849946534</v>
      </c>
      <c r="AC55" s="188">
        <f t="shared" si="42"/>
        <v>4.9089297499108904</v>
      </c>
      <c r="AD55" s="188">
        <f t="shared" si="43"/>
        <v>9.8178594998217807</v>
      </c>
    </row>
    <row r="56" spans="22:30" x14ac:dyDescent="0.3">
      <c r="V56" s="11">
        <v>2</v>
      </c>
      <c r="W56" s="187">
        <f>($W$57*SQRT(V56))/SQRT(3)</f>
        <v>1.9595917942265426</v>
      </c>
      <c r="X56" s="188">
        <f t="shared" si="39"/>
        <v>0.14061795605245475</v>
      </c>
      <c r="Y56" s="188">
        <v>2.1794806859125742</v>
      </c>
      <c r="Z56" s="188">
        <v>2.1017552261923349</v>
      </c>
      <c r="AA56" s="187">
        <f t="shared" si="40"/>
        <v>1.8894479416960095</v>
      </c>
      <c r="AB56" s="188">
        <f t="shared" si="41"/>
        <v>3.4010062950528175</v>
      </c>
      <c r="AC56" s="188">
        <f t="shared" si="42"/>
        <v>5.6683438250880291</v>
      </c>
      <c r="AD56" s="188">
        <f t="shared" si="43"/>
        <v>11.336687650176058</v>
      </c>
    </row>
    <row r="57" spans="22:30" x14ac:dyDescent="0.3">
      <c r="V57" s="11">
        <v>3</v>
      </c>
      <c r="W57" s="191">
        <v>2.4</v>
      </c>
      <c r="X57" s="188">
        <f t="shared" si="39"/>
        <v>0.21092693407868168</v>
      </c>
      <c r="Y57" s="188">
        <v>3.269221028868861</v>
      </c>
      <c r="Z57" s="188">
        <v>3.1526328392885024</v>
      </c>
      <c r="AA57" s="187">
        <f t="shared" si="40"/>
        <v>2.3140916763535824</v>
      </c>
      <c r="AB57" s="188">
        <f t="shared" si="41"/>
        <v>4.1653650174364474</v>
      </c>
      <c r="AC57" s="188">
        <f t="shared" si="42"/>
        <v>6.9422750290607462</v>
      </c>
      <c r="AD57" s="188">
        <f t="shared" si="43"/>
        <v>13.884550058121492</v>
      </c>
    </row>
    <row r="58" spans="22:30" x14ac:dyDescent="0.3">
      <c r="V58" s="11">
        <v>4</v>
      </c>
      <c r="W58" s="187">
        <f>($W$57*SQRT(V58))/SQRT(3)</f>
        <v>2.7712812921102037</v>
      </c>
      <c r="X58" s="188">
        <f t="shared" si="39"/>
        <v>0.2812359121049095</v>
      </c>
      <c r="Y58" s="188">
        <v>4.3589613718251483</v>
      </c>
      <c r="Z58" s="188">
        <v>4.2035104523846698</v>
      </c>
      <c r="AA58" s="187">
        <f t="shared" si="40"/>
        <v>2.6720829045444252</v>
      </c>
      <c r="AB58" s="188">
        <f t="shared" si="41"/>
        <v>4.8097492281799656</v>
      </c>
      <c r="AC58" s="188">
        <f t="shared" si="42"/>
        <v>8.0162487136332761</v>
      </c>
      <c r="AD58" s="188">
        <f t="shared" si="43"/>
        <v>16.032497427266552</v>
      </c>
    </row>
    <row r="59" spans="22:30" x14ac:dyDescent="0.3">
      <c r="V59" s="11">
        <v>5</v>
      </c>
      <c r="W59" s="187">
        <f>($W$57*SQRT(V59))/SQRT(3)</f>
        <v>3.0983866769659336</v>
      </c>
      <c r="X59" s="188">
        <f t="shared" si="39"/>
        <v>0.35154489013113555</v>
      </c>
      <c r="Y59" s="188">
        <v>5.4487017147814347</v>
      </c>
      <c r="Z59" s="188">
        <v>5.2543880654808373</v>
      </c>
      <c r="AA59" s="187">
        <f t="shared" si="40"/>
        <v>2.9874795080382093</v>
      </c>
      <c r="AB59" s="188">
        <f t="shared" si="41"/>
        <v>5.3774631144687763</v>
      </c>
      <c r="AC59" s="188">
        <f t="shared" si="42"/>
        <v>8.9624385241146278</v>
      </c>
      <c r="AD59" s="188">
        <f t="shared" si="43"/>
        <v>17.924877048229256</v>
      </c>
    </row>
    <row r="60" spans="22:30" x14ac:dyDescent="0.3">
      <c r="V60" s="11">
        <v>6</v>
      </c>
      <c r="W60" s="187">
        <f>($W$57*SQRT(V60))/SQRT(3)</f>
        <v>3.3941125496954281</v>
      </c>
      <c r="X60" s="188">
        <f t="shared" si="39"/>
        <v>0.42185386815736337</v>
      </c>
      <c r="Y60" s="188">
        <v>6.538442057737722</v>
      </c>
      <c r="Z60" s="188">
        <v>6.3052656785770047</v>
      </c>
      <c r="AA60" s="187">
        <f t="shared" si="40"/>
        <v>3.2726198332739265</v>
      </c>
      <c r="AB60" s="188">
        <f t="shared" si="41"/>
        <v>5.8907156998930681</v>
      </c>
      <c r="AC60" s="188">
        <f t="shared" si="42"/>
        <v>9.8178594998217807</v>
      </c>
      <c r="AD60" s="188">
        <f t="shared" si="43"/>
        <v>19.635718999643561</v>
      </c>
    </row>
    <row r="62" spans="22:30" x14ac:dyDescent="0.3">
      <c r="V62" s="11" t="s">
        <v>257</v>
      </c>
      <c r="Y62" s="11" t="s">
        <v>265</v>
      </c>
    </row>
    <row r="63" spans="22:30" x14ac:dyDescent="0.3">
      <c r="V63" s="11" t="s">
        <v>248</v>
      </c>
      <c r="W63" s="11" t="s">
        <v>247</v>
      </c>
      <c r="X63" s="190" t="s">
        <v>267</v>
      </c>
      <c r="Y63" s="11" t="s">
        <v>268</v>
      </c>
      <c r="Z63" s="11" t="s">
        <v>266</v>
      </c>
      <c r="AA63" s="11" t="s">
        <v>247</v>
      </c>
      <c r="AB63" s="11">
        <v>30</v>
      </c>
      <c r="AC63" s="11">
        <v>50</v>
      </c>
      <c r="AD63" s="11">
        <v>100</v>
      </c>
    </row>
    <row r="64" spans="22:30" x14ac:dyDescent="0.3">
      <c r="V64" s="11">
        <v>1</v>
      </c>
      <c r="W64" s="187">
        <f>($W$67*SQRT(V64))/SQRT(3)</f>
        <v>1.8475208614068026</v>
      </c>
      <c r="X64" s="188">
        <f t="shared" ref="X64:X70" si="44">AVERAGE(Y64:Z64)-V64</f>
        <v>0.12499373871329267</v>
      </c>
      <c r="Y64" s="188">
        <v>1.1595383874778435</v>
      </c>
      <c r="Z64" s="188">
        <v>1.090449089948742</v>
      </c>
      <c r="AA64" s="187">
        <f t="shared" ref="AA64:AA70" si="45">($W$67*SQRT(V64-X64))/SQRT(3)</f>
        <v>1.7282037028444577</v>
      </c>
      <c r="AB64" s="188">
        <f t="shared" ref="AB64:AB70" si="46">$AD64*($AB$63/100)</f>
        <v>3.1107666651200234</v>
      </c>
      <c r="AC64" s="188">
        <f t="shared" ref="AC64:AC70" si="47">$AD64*($AC$63/100)</f>
        <v>5.1846111085333728</v>
      </c>
      <c r="AD64" s="188">
        <f t="shared" ref="AD64:AD70" si="48">($AA64*60000)/($B$4*$B$5)</f>
        <v>10.369222217066746</v>
      </c>
    </row>
    <row r="65" spans="22:30" x14ac:dyDescent="0.3">
      <c r="V65" s="11">
        <v>1.5</v>
      </c>
      <c r="W65" s="187">
        <f>($W$67*SQRT(V65))/SQRT(3)</f>
        <v>2.2627416997969521</v>
      </c>
      <c r="X65" s="188">
        <f t="shared" si="44"/>
        <v>0.18749060806993922</v>
      </c>
      <c r="Y65" s="188">
        <v>1.7393075812167655</v>
      </c>
      <c r="Z65" s="188">
        <v>1.6356736349231131</v>
      </c>
      <c r="AA65" s="187">
        <f t="shared" si="45"/>
        <v>2.116608621778703</v>
      </c>
      <c r="AB65" s="188">
        <f t="shared" si="46"/>
        <v>3.8098955192016648</v>
      </c>
      <c r="AC65" s="188">
        <f t="shared" si="47"/>
        <v>6.3498258653361086</v>
      </c>
      <c r="AD65" s="188">
        <f t="shared" si="48"/>
        <v>12.699651730672217</v>
      </c>
    </row>
    <row r="66" spans="22:30" x14ac:dyDescent="0.3">
      <c r="V66" s="11">
        <v>2</v>
      </c>
      <c r="W66" s="187">
        <f>($W$67*SQRT(V66))/SQRT(3)</f>
        <v>2.6127890589687239</v>
      </c>
      <c r="X66" s="188">
        <f t="shared" si="44"/>
        <v>0.24998747742658534</v>
      </c>
      <c r="Y66" s="188">
        <v>2.3190767749556871</v>
      </c>
      <c r="Z66" s="188">
        <v>2.180898179897484</v>
      </c>
      <c r="AA66" s="187">
        <f t="shared" si="45"/>
        <v>2.4440491151060346</v>
      </c>
      <c r="AB66" s="188">
        <f t="shared" si="46"/>
        <v>4.3992884071908618</v>
      </c>
      <c r="AC66" s="188">
        <f t="shared" si="47"/>
        <v>7.3321473453181039</v>
      </c>
      <c r="AD66" s="188">
        <f t="shared" si="48"/>
        <v>14.664294690636208</v>
      </c>
    </row>
    <row r="67" spans="22:30" x14ac:dyDescent="0.3">
      <c r="V67" s="11">
        <v>3</v>
      </c>
      <c r="W67" s="191">
        <v>3.2</v>
      </c>
      <c r="X67" s="188">
        <f t="shared" si="44"/>
        <v>0.37498121613987845</v>
      </c>
      <c r="Y67" s="188">
        <v>3.4786151624335311</v>
      </c>
      <c r="Z67" s="188">
        <v>3.2713472698462263</v>
      </c>
      <c r="AA67" s="187">
        <f t="shared" si="45"/>
        <v>2.9933366191552668</v>
      </c>
      <c r="AB67" s="188">
        <f t="shared" si="46"/>
        <v>5.3880059144794803</v>
      </c>
      <c r="AC67" s="188">
        <f t="shared" si="47"/>
        <v>8.9800098574658005</v>
      </c>
      <c r="AD67" s="188">
        <f t="shared" si="48"/>
        <v>17.960019714931601</v>
      </c>
    </row>
    <row r="68" spans="22:30" x14ac:dyDescent="0.3">
      <c r="V68" s="11">
        <v>4</v>
      </c>
      <c r="W68" s="187">
        <f>($W$67*SQRT(V68))/SQRT(3)</f>
        <v>3.6950417228136052</v>
      </c>
      <c r="X68" s="188">
        <f t="shared" si="44"/>
        <v>0.49997495485317067</v>
      </c>
      <c r="Y68" s="188">
        <v>4.6381535499113742</v>
      </c>
      <c r="Z68" s="188">
        <v>4.361796359794968</v>
      </c>
      <c r="AA68" s="187">
        <f t="shared" si="45"/>
        <v>3.4564074056889154</v>
      </c>
      <c r="AB68" s="188">
        <f t="shared" si="46"/>
        <v>6.2215333302400468</v>
      </c>
      <c r="AC68" s="188">
        <f t="shared" si="47"/>
        <v>10.369222217066746</v>
      </c>
      <c r="AD68" s="188">
        <f t="shared" si="48"/>
        <v>20.738444434133491</v>
      </c>
    </row>
    <row r="69" spans="22:30" x14ac:dyDescent="0.3">
      <c r="V69" s="11">
        <v>5</v>
      </c>
      <c r="W69" s="187">
        <f>($W$67*SQRT(V69))/SQRT(3)</f>
        <v>4.1311822359545785</v>
      </c>
      <c r="X69" s="188">
        <f t="shared" si="44"/>
        <v>0.62496869356646378</v>
      </c>
      <c r="Y69" s="188">
        <v>5.7976919373892182</v>
      </c>
      <c r="Z69" s="188">
        <v>5.4522454497437103</v>
      </c>
      <c r="AA69" s="187">
        <f t="shared" si="45"/>
        <v>3.8643809585270548</v>
      </c>
      <c r="AB69" s="188">
        <f t="shared" si="46"/>
        <v>6.9558857253486988</v>
      </c>
      <c r="AC69" s="188">
        <f t="shared" si="47"/>
        <v>11.593142875581165</v>
      </c>
      <c r="AD69" s="188">
        <f t="shared" si="48"/>
        <v>23.18628575116233</v>
      </c>
    </row>
    <row r="70" spans="22:30" x14ac:dyDescent="0.3">
      <c r="V70" s="11">
        <v>6</v>
      </c>
      <c r="W70" s="187">
        <f>($W$67*SQRT(V70))/SQRT(3)</f>
        <v>4.5254833995939041</v>
      </c>
      <c r="X70" s="188">
        <f t="shared" si="44"/>
        <v>0.7499624322797569</v>
      </c>
      <c r="Y70" s="188">
        <v>6.9572303248670622</v>
      </c>
      <c r="Z70" s="188">
        <v>6.5426945396924525</v>
      </c>
      <c r="AA70" s="187">
        <f t="shared" si="45"/>
        <v>4.233217243557406</v>
      </c>
      <c r="AB70" s="188">
        <f t="shared" si="46"/>
        <v>7.6197910384033296</v>
      </c>
      <c r="AC70" s="188">
        <f t="shared" si="47"/>
        <v>12.699651730672217</v>
      </c>
      <c r="AD70" s="188">
        <f t="shared" si="48"/>
        <v>25.399303461344434</v>
      </c>
    </row>
    <row r="72" spans="22:30" x14ac:dyDescent="0.3">
      <c r="V72" s="11" t="s">
        <v>258</v>
      </c>
      <c r="Y72" s="11" t="s">
        <v>265</v>
      </c>
    </row>
    <row r="73" spans="22:30" x14ac:dyDescent="0.3">
      <c r="V73" s="11" t="s">
        <v>248</v>
      </c>
      <c r="W73" s="11" t="s">
        <v>247</v>
      </c>
      <c r="X73" s="190" t="s">
        <v>267</v>
      </c>
      <c r="Y73" s="11" t="s">
        <v>268</v>
      </c>
      <c r="Z73" s="11" t="s">
        <v>266</v>
      </c>
      <c r="AA73" s="11" t="s">
        <v>247</v>
      </c>
      <c r="AB73" s="11">
        <v>30</v>
      </c>
      <c r="AC73" s="11">
        <v>50</v>
      </c>
      <c r="AD73" s="11">
        <v>100</v>
      </c>
    </row>
    <row r="74" spans="22:30" x14ac:dyDescent="0.3">
      <c r="V74" s="11">
        <v>1</v>
      </c>
      <c r="W74" s="187">
        <f>($W$77*SQRT(V74))/SQRT(3)</f>
        <v>2.3094010767585034</v>
      </c>
      <c r="X74" s="188">
        <f t="shared" ref="X74:X80" si="49">AVERAGE(Y74:Z74)-V74</f>
        <v>0.19530271673952004</v>
      </c>
      <c r="Y74" s="188">
        <v>1.2492787304341306</v>
      </c>
      <c r="Z74" s="188">
        <v>1.1413267030449095</v>
      </c>
      <c r="AA74" s="187">
        <f t="shared" ref="AA74:AA80" si="50">($W$77*SQRT(V74-X74))/SQRT(3)</f>
        <v>2.071646409032172</v>
      </c>
      <c r="AB74" s="188">
        <f t="shared" ref="AB74:AB80" si="51">$AD74*($AB$73/100)</f>
        <v>3.7289635362579094</v>
      </c>
      <c r="AC74" s="188">
        <f t="shared" ref="AC74:AC80" si="52">$AD74*($AC$73/100)</f>
        <v>6.214939227096516</v>
      </c>
      <c r="AD74" s="188">
        <f t="shared" ref="AD74:AD80" si="53">($AA74*60000)/($B$4*$B$5)</f>
        <v>12.429878454193032</v>
      </c>
    </row>
    <row r="75" spans="22:30" x14ac:dyDescent="0.3">
      <c r="V75" s="11">
        <v>1.5</v>
      </c>
      <c r="W75" s="187">
        <f>($W$77*SQRT(V75))/SQRT(3)</f>
        <v>2.8284271247461898</v>
      </c>
      <c r="X75" s="188">
        <f t="shared" si="49"/>
        <v>0.29295407510928007</v>
      </c>
      <c r="Y75" s="188">
        <v>1.873918095651196</v>
      </c>
      <c r="Z75" s="188">
        <v>1.7119900545673643</v>
      </c>
      <c r="AA75" s="187">
        <f t="shared" si="50"/>
        <v>2.5372383147989548</v>
      </c>
      <c r="AB75" s="188">
        <f t="shared" si="51"/>
        <v>4.5670289666381185</v>
      </c>
      <c r="AC75" s="188">
        <f t="shared" si="52"/>
        <v>7.6117149443968648</v>
      </c>
      <c r="AD75" s="188">
        <f t="shared" si="53"/>
        <v>15.22342988879373</v>
      </c>
    </row>
    <row r="76" spans="22:30" x14ac:dyDescent="0.3">
      <c r="V76" s="11">
        <v>2</v>
      </c>
      <c r="W76" s="187">
        <f>($W$77*SQRT(V76))/SQRT(3)</f>
        <v>3.2659863237109046</v>
      </c>
      <c r="X76" s="188">
        <f t="shared" si="49"/>
        <v>0.39060543347904009</v>
      </c>
      <c r="Y76" s="188">
        <v>2.4985574608682612</v>
      </c>
      <c r="Z76" s="188">
        <v>2.2826534060898189</v>
      </c>
      <c r="AA76" s="187">
        <f t="shared" si="50"/>
        <v>2.929750448094818</v>
      </c>
      <c r="AB76" s="188">
        <f t="shared" si="51"/>
        <v>5.2735508065706727</v>
      </c>
      <c r="AC76" s="188">
        <f t="shared" si="52"/>
        <v>8.7892513442844553</v>
      </c>
      <c r="AD76" s="188">
        <f t="shared" si="53"/>
        <v>17.578502688568911</v>
      </c>
    </row>
    <row r="77" spans="22:30" x14ac:dyDescent="0.3">
      <c r="V77" s="11">
        <v>3</v>
      </c>
      <c r="W77" s="191">
        <v>4</v>
      </c>
      <c r="X77" s="188">
        <f t="shared" si="49"/>
        <v>0.58590815021856013</v>
      </c>
      <c r="Y77" s="188">
        <v>3.7478361913023921</v>
      </c>
      <c r="Z77" s="188">
        <v>3.4239801091347282</v>
      </c>
      <c r="AA77" s="187">
        <f t="shared" si="50"/>
        <v>3.5881968357613383</v>
      </c>
      <c r="AB77" s="188">
        <f t="shared" si="51"/>
        <v>6.4587543043704079</v>
      </c>
      <c r="AC77" s="188">
        <f t="shared" si="52"/>
        <v>10.764590507284014</v>
      </c>
      <c r="AD77" s="188">
        <f t="shared" si="53"/>
        <v>21.529181014568028</v>
      </c>
    </row>
    <row r="78" spans="22:30" x14ac:dyDescent="0.3">
      <c r="V78" s="11">
        <v>4</v>
      </c>
      <c r="W78" s="187">
        <f>($W$77*SQRT(V78))/SQRT(3)</f>
        <v>4.6188021535170067</v>
      </c>
      <c r="X78" s="188">
        <f t="shared" si="49"/>
        <v>0.78121086695808017</v>
      </c>
      <c r="Y78" s="188">
        <v>4.9971149217365225</v>
      </c>
      <c r="Z78" s="188">
        <v>4.5653068121796379</v>
      </c>
      <c r="AA78" s="187">
        <f t="shared" si="50"/>
        <v>4.143292818064344</v>
      </c>
      <c r="AB78" s="188">
        <f t="shared" si="51"/>
        <v>7.4579270725158189</v>
      </c>
      <c r="AC78" s="188">
        <f t="shared" si="52"/>
        <v>12.429878454193032</v>
      </c>
      <c r="AD78" s="188">
        <f t="shared" si="53"/>
        <v>24.859756908386064</v>
      </c>
    </row>
    <row r="79" spans="22:30" x14ac:dyDescent="0.3">
      <c r="V79" s="11">
        <v>5</v>
      </c>
      <c r="W79" s="187">
        <f>($W$77*SQRT(V79))/SQRT(3)</f>
        <v>5.1639777949432233</v>
      </c>
      <c r="X79" s="188">
        <f t="shared" si="49"/>
        <v>0.97651358369760022</v>
      </c>
      <c r="Y79" s="188">
        <v>6.2463936521706529</v>
      </c>
      <c r="Z79" s="188">
        <v>5.7066335152245475</v>
      </c>
      <c r="AA79" s="187">
        <f t="shared" si="50"/>
        <v>4.6323421959392705</v>
      </c>
      <c r="AB79" s="188">
        <f t="shared" si="51"/>
        <v>8.3382159526906872</v>
      </c>
      <c r="AC79" s="188">
        <f t="shared" si="52"/>
        <v>13.897026587817813</v>
      </c>
      <c r="AD79" s="188">
        <f t="shared" si="53"/>
        <v>27.794053175635625</v>
      </c>
    </row>
    <row r="80" spans="22:30" x14ac:dyDescent="0.3">
      <c r="V80" s="11">
        <v>6</v>
      </c>
      <c r="W80" s="187">
        <f>($W$77*SQRT(V80))/SQRT(3)</f>
        <v>5.6568542494923797</v>
      </c>
      <c r="X80" s="188">
        <f t="shared" si="49"/>
        <v>1.1718163004371203</v>
      </c>
      <c r="Y80" s="188">
        <v>7.4956723826047842</v>
      </c>
      <c r="Z80" s="188">
        <v>6.8479602182694572</v>
      </c>
      <c r="AA80" s="187">
        <f t="shared" si="50"/>
        <v>5.0744766295979096</v>
      </c>
      <c r="AB80" s="188">
        <f t="shared" si="51"/>
        <v>9.1340579332762371</v>
      </c>
      <c r="AC80" s="188">
        <f t="shared" si="52"/>
        <v>15.22342988879373</v>
      </c>
      <c r="AD80" s="188">
        <f t="shared" si="53"/>
        <v>30.446859777587459</v>
      </c>
    </row>
  </sheetData>
  <sheetProtection algorithmName="SHA-512" hashValue="wOcaPxjAfCdtpH367NDR+v9MXRT/RIE7CPIu3nU5GTZJKKvFzZXPG2tRMQ8FLtXecDWPzksb2LmUCbTLllpgQw==" saltValue="aar7V/Q3FTKn0Qv7sPCpfg==" spinCount="100000" sheet="1" objects="1" scenarios="1"/>
  <mergeCells count="10">
    <mergeCell ref="Y1:AA1"/>
    <mergeCell ref="N10:O10"/>
    <mergeCell ref="P4:T4"/>
    <mergeCell ref="A10:A11"/>
    <mergeCell ref="B10:C10"/>
    <mergeCell ref="D10:E10"/>
    <mergeCell ref="F10:G10"/>
    <mergeCell ref="H10:I10"/>
    <mergeCell ref="J10:K10"/>
    <mergeCell ref="L10:M10"/>
  </mergeCells>
  <conditionalFormatting sqref="B8:I8 C6 H6:I6 E6 B7:C7 E7:I7">
    <cfRule type="cellIs" dxfId="2" priority="4" operator="greaterThan">
      <formula>$B$4</formula>
    </cfRule>
  </conditionalFormatting>
  <conditionalFormatting sqref="B12:O18">
    <cfRule type="cellIs" dxfId="1" priority="3" operator="between">
      <formula>3</formula>
      <formula>20</formula>
    </cfRule>
  </conditionalFormatting>
  <conditionalFormatting sqref="F12:G12">
    <cfRule type="cellIs" dxfId="0" priority="2" operator="between">
      <formula>3</formula>
      <formula>20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2.5546875" style="11" bestFit="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135" t="s">
        <v>62</v>
      </c>
      <c r="B3" s="409">
        <v>0.6</v>
      </c>
      <c r="C3" s="409"/>
      <c r="D3" s="410"/>
      <c r="E3" s="11" t="s">
        <v>136</v>
      </c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6</v>
      </c>
      <c r="B6" s="17">
        <f>(((SQRT(B5)*$B$3)/SQRT(3))*$C$15)/$A6</f>
        <v>138.5640646055102</v>
      </c>
      <c r="C6" s="17">
        <f>(((SQRT(C5)*$B$3)/SQRT(3))*$C$15)/$A6</f>
        <v>240</v>
      </c>
      <c r="D6" s="17">
        <f>(((SQRT(D5)*$B$3)/SQRT(3))*$C$15)/$A6</f>
        <v>339.41125496954282</v>
      </c>
      <c r="F6" s="106"/>
      <c r="G6" s="106"/>
      <c r="H6" s="132"/>
      <c r="I6" s="42" t="str">
        <f>IF(H6="","","bis")</f>
        <v/>
      </c>
      <c r="J6" s="19"/>
      <c r="K6" s="20">
        <f>(((SQRT($H6)*$B$3)/SQRT(3))*60000)/($B$12*$B$15)</f>
        <v>0</v>
      </c>
      <c r="L6" s="42" t="str">
        <f>IF(K6="","","bis")</f>
        <v>bis</v>
      </c>
      <c r="M6" s="18">
        <f>(((SQRT($J6)*$B$3)/SQRT(3))*60000)/($B$12*$B$15)</f>
        <v>0</v>
      </c>
      <c r="N6" s="19"/>
      <c r="O6" s="42" t="str">
        <f>IF(N6="","","bis")</f>
        <v/>
      </c>
      <c r="P6" s="18"/>
      <c r="Q6" s="20">
        <f>(((SQRT($N6)*$B$3)/SQRT(3))*60000)/($B$12*$B$15)</f>
        <v>0</v>
      </c>
      <c r="R6" s="42" t="str">
        <f>IF(Q6="","","bis")</f>
        <v>bis</v>
      </c>
      <c r="S6" s="18">
        <f>(((SQRT($P6)*$B$3)/SQRT(3))*60000)/($B$12*$B$15)</f>
        <v>0</v>
      </c>
      <c r="T6" s="20"/>
      <c r="U6" s="42" t="str">
        <f>IF(T6="","","bis")</f>
        <v/>
      </c>
      <c r="V6" s="19"/>
      <c r="W6" s="20">
        <f>(((SQRT($T6)*$B$3)/SQRT(3))*60000)/($B$12*$B$15)</f>
        <v>0</v>
      </c>
      <c r="X6" s="42" t="str">
        <f>IF(W6="","","bis")</f>
        <v>bis</v>
      </c>
      <c r="Y6" s="19">
        <f>(((SQRT($V6)*$B$3)/SQRT(3))*60000)/($B$12*$B$15)</f>
        <v>0</v>
      </c>
      <c r="Z6" s="133"/>
      <c r="AA6" s="42" t="str">
        <f>IF(Z6="","","bis")</f>
        <v/>
      </c>
      <c r="AB6" s="134"/>
    </row>
    <row r="7" spans="1:28" ht="18" thickBot="1" x14ac:dyDescent="0.35">
      <c r="A7" s="21">
        <v>7</v>
      </c>
      <c r="B7" s="17">
        <f>(((SQRT(B5)*$B$3)/SQRT(3))*$C$15)/$A7</f>
        <v>118.76919823329445</v>
      </c>
      <c r="C7" s="17">
        <f>(((SQRT(C5)*$B$3)/SQRT(3))*$C$15)/$A7</f>
        <v>205.71428571428572</v>
      </c>
      <c r="D7" s="17">
        <f>(((SQRT(D5)*$B$3)/SQRT(3))*$C$15)/$A7</f>
        <v>290.92393283103672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(((SQRT($H7)*$B$3)/SQRT(3))*60000)/($B$12*$B$15)</f>
        <v>0</v>
      </c>
      <c r="L7" s="42" t="str">
        <f>IF(K7="","","bis")</f>
        <v>bis</v>
      </c>
      <c r="M7" s="18">
        <f>(((SQRT($J7)*$B$3)/SQRT(3))*60000)/($B$12*$B$15)</f>
        <v>0</v>
      </c>
      <c r="N7" s="20"/>
      <c r="O7" s="42" t="str">
        <f>IF(N7="","","bis")</f>
        <v/>
      </c>
      <c r="P7" s="18"/>
      <c r="Q7" s="20">
        <f>(((SQRT($N7)*$B$3)/SQRT(3))*60000)/($B$12*$B$15)</f>
        <v>0</v>
      </c>
      <c r="R7" s="42" t="str">
        <f>IF(Q7="","","bis")</f>
        <v>bis</v>
      </c>
      <c r="S7" s="18">
        <f>(((SQRT($P7)*$B$3)/SQRT(3))*60000)/($B$12*$B$15)</f>
        <v>0</v>
      </c>
      <c r="T7" s="20"/>
      <c r="U7" s="42" t="str">
        <f>IF(T7="","","bis")</f>
        <v/>
      </c>
      <c r="V7" s="18"/>
      <c r="W7" s="20">
        <f>(((SQRT($T7)*$B$3)/SQRT(3))*60000)/($B$12*$B$15)</f>
        <v>0</v>
      </c>
      <c r="X7" s="42" t="str">
        <f>IF(W7="","","bis")</f>
        <v>bis</v>
      </c>
      <c r="Y7" s="18">
        <f>(((SQRT($V7)*$B$3)/SQRT(3))*60000)/($B$12*$B$15)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8</v>
      </c>
      <c r="B8" s="17">
        <f>(((SQRT(B5)*$B$3)/SQRT(3))*$C$15)/$A8</f>
        <v>103.92304845413264</v>
      </c>
      <c r="C8" s="17">
        <f>(((SQRT(C5)*$B$3)/SQRT(3))*1200)/$A8</f>
        <v>90</v>
      </c>
      <c r="D8" s="17">
        <f>(((SQRT(D5)*$B$3)/SQRT(3))*1200)/$A8</f>
        <v>127.27922061357856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(((SQRT($H8)*$B$3)/SQRT(3))*60000)/($B$12*$B$15)</f>
        <v>0</v>
      </c>
      <c r="L8" s="42" t="str">
        <f>IF(K8="","","bis")</f>
        <v>bis</v>
      </c>
      <c r="M8" s="18">
        <f>(((SQRT($J8)*$B$3)/SQRT(3))*60000)/($B$12*$B$15)</f>
        <v>0</v>
      </c>
      <c r="N8" s="20"/>
      <c r="O8" s="42" t="str">
        <f>IF(N8="","","bis")</f>
        <v/>
      </c>
      <c r="P8" s="18"/>
      <c r="Q8" s="20">
        <f>(((SQRT($N8)*$B$3)/SQRT(3))*60000)/($B$12*$B$15)</f>
        <v>0</v>
      </c>
      <c r="R8" s="42" t="str">
        <f>IF(Q8="","","bis")</f>
        <v>bis</v>
      </c>
      <c r="S8" s="18">
        <f>(((SQRT($P8)*$B$3)/SQRT(3))*60000)/($B$12*$B$15)</f>
        <v>0</v>
      </c>
      <c r="T8" s="20"/>
      <c r="U8" s="42" t="str">
        <f>IF(T8="","","bis")</f>
        <v/>
      </c>
      <c r="V8" s="18"/>
      <c r="W8" s="20">
        <f>(((SQRT($T8)*$B$3)/SQRT(3))*60000)/($B$12*$B$15)</f>
        <v>0</v>
      </c>
      <c r="X8" s="42" t="str">
        <f>IF(W8="","","bis")</f>
        <v>bis</v>
      </c>
      <c r="Y8" s="18">
        <f>(((SQRT($V8)*$B$3)/SQRT(3))*60000)/($B$12*$B$15)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9</v>
      </c>
      <c r="B9" s="17">
        <f>(((SQRT(B5)*$B$3)/SQRT(3))*$C$15)/$A9</f>
        <v>92.376043070340131</v>
      </c>
      <c r="C9" s="17">
        <f>(((SQRT(C5)*$B$3)/SQRT(3))*$C$15)/$A9</f>
        <v>160</v>
      </c>
      <c r="D9" s="17">
        <f>(((SQRT(D5)*$B$3)/SQRT(3))*$C$15)/$A9</f>
        <v>226.27416997969522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(((SQRT($H9)*$B$3)/SQRT(3))*60000)/($B$12*$B$15)</f>
        <v>0</v>
      </c>
      <c r="L9" s="42" t="str">
        <f>IF(K9="","","bis")</f>
        <v>bis</v>
      </c>
      <c r="M9" s="18">
        <f>(((SQRT($J9)*$B$3)/SQRT(3))*60000)/($B$12*$B$15)</f>
        <v>0</v>
      </c>
      <c r="N9" s="20"/>
      <c r="O9" s="42" t="str">
        <f>IF(N9="","","bis")</f>
        <v/>
      </c>
      <c r="P9" s="18"/>
      <c r="Q9" s="20">
        <f>(((SQRT($N9)*$B$3)/SQRT(3))*60000)/($B$12*$B$15)</f>
        <v>0</v>
      </c>
      <c r="R9" s="42" t="str">
        <f>IF(Q9="","","bis")</f>
        <v>bis</v>
      </c>
      <c r="S9" s="18">
        <f>(((SQRT($P9)*$B$3)/SQRT(3))*60000)/($B$12*$B$15)</f>
        <v>0</v>
      </c>
      <c r="T9" s="20"/>
      <c r="U9" s="42" t="str">
        <f>IF(T9="","","bis")</f>
        <v/>
      </c>
      <c r="V9" s="19"/>
      <c r="W9" s="20">
        <f>(((SQRT($T9)*$B$3)/SQRT(3))*60000)/($B$12*$B$15)</f>
        <v>0</v>
      </c>
      <c r="X9" s="42" t="str">
        <f>IF(W9="","","bis")</f>
        <v>bis</v>
      </c>
      <c r="Y9" s="18">
        <f>(((SQRT($V9)*$B$3)/SQRT(3))*60000)/($B$12*$B$15)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10</v>
      </c>
      <c r="B10" s="27">
        <f>(((SQRT(B5)*$B$3)/SQRT(3))*$C$15)/$A10</f>
        <v>83.138438763306112</v>
      </c>
      <c r="C10" s="27">
        <f>(((SQRT(C5)*$B$3)/SQRT(3))*$C$15)/$A10</f>
        <v>144</v>
      </c>
      <c r="D10" s="27">
        <f>(((SQRT(D5)*$B$3)/SQRT(3))*$C$15)/$A10</f>
        <v>203.64675298172568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200</v>
      </c>
      <c r="C12" s="24"/>
    </row>
    <row r="13" spans="1:28" ht="18" thickBot="1" x14ac:dyDescent="0.35">
      <c r="A13" s="23" t="s">
        <v>57</v>
      </c>
      <c r="B13" s="25">
        <f>POWER(((SQRT(3)*$C$13)/$B$3),2)</f>
        <v>2.083333333333333</v>
      </c>
      <c r="C13" s="26">
        <f>(B12*B14*B15)/60000</f>
        <v>0.5</v>
      </c>
    </row>
    <row r="14" spans="1:28" ht="18" thickBot="1" x14ac:dyDescent="0.35">
      <c r="A14" s="23" t="s">
        <v>58</v>
      </c>
      <c r="B14" s="9">
        <v>6</v>
      </c>
    </row>
    <row r="15" spans="1:28" ht="18" thickBot="1" x14ac:dyDescent="0.35">
      <c r="A15" s="23" t="s">
        <v>61</v>
      </c>
      <c r="B15" s="29">
        <v>25</v>
      </c>
      <c r="C15" s="26">
        <f>(60000/B15)</f>
        <v>2400</v>
      </c>
    </row>
  </sheetData>
  <sheetProtection algorithmName="SHA-512" hashValue="xok4YedkS0ByVyYEsIHnc4Oqsybs9SqlDU+AKAibUgEVhAlm0W+Nz2LiPvPt2zbwdKhKImUlsiV8LItF/lKK5Q==" saltValue="HaXQEr9hzTjwOWBYitRvyg==" spinCount="100000" sheet="1" objects="1" scenarios="1"/>
  <mergeCells count="11">
    <mergeCell ref="B3:D3"/>
    <mergeCell ref="H4:M4"/>
    <mergeCell ref="N4:S4"/>
    <mergeCell ref="T4:Y4"/>
    <mergeCell ref="Z4:AB5"/>
    <mergeCell ref="H5:J5"/>
    <mergeCell ref="K5:M5"/>
    <mergeCell ref="N5:P5"/>
    <mergeCell ref="Q5:S5"/>
    <mergeCell ref="T5:V5"/>
    <mergeCell ref="W5:Y5"/>
  </mergeCells>
  <conditionalFormatting sqref="B6">
    <cfRule type="cellIs" dxfId="764" priority="15" operator="greaterThan">
      <formula>$B$12</formula>
    </cfRule>
  </conditionalFormatting>
  <conditionalFormatting sqref="C6">
    <cfRule type="cellIs" dxfId="763" priority="14" operator="greaterThan">
      <formula>$B$12</formula>
    </cfRule>
  </conditionalFormatting>
  <conditionalFormatting sqref="D6">
    <cfRule type="cellIs" dxfId="762" priority="13" operator="greaterThan">
      <formula>$B$12</formula>
    </cfRule>
  </conditionalFormatting>
  <conditionalFormatting sqref="B7">
    <cfRule type="cellIs" dxfId="761" priority="12" operator="greaterThan">
      <formula>$B$12</formula>
    </cfRule>
  </conditionalFormatting>
  <conditionalFormatting sqref="C7">
    <cfRule type="cellIs" dxfId="760" priority="11" operator="greaterThan">
      <formula>$B$12</formula>
    </cfRule>
  </conditionalFormatting>
  <conditionalFormatting sqref="D7">
    <cfRule type="cellIs" dxfId="759" priority="10" operator="greaterThan">
      <formula>$B$12</formula>
    </cfRule>
  </conditionalFormatting>
  <conditionalFormatting sqref="B8">
    <cfRule type="cellIs" dxfId="758" priority="9" operator="greaterThan">
      <formula>$B$12</formula>
    </cfRule>
  </conditionalFormatting>
  <conditionalFormatting sqref="B9">
    <cfRule type="cellIs" dxfId="757" priority="8" operator="greaterThan">
      <formula>$B$12</formula>
    </cfRule>
  </conditionalFormatting>
  <conditionalFormatting sqref="B10">
    <cfRule type="cellIs" dxfId="756" priority="7" operator="greaterThan">
      <formula>$B$12</formula>
    </cfRule>
  </conditionalFormatting>
  <conditionalFormatting sqref="C8">
    <cfRule type="cellIs" dxfId="755" priority="6" operator="greaterThan">
      <formula>$B$12</formula>
    </cfRule>
  </conditionalFormatting>
  <conditionalFormatting sqref="D8">
    <cfRule type="cellIs" dxfId="754" priority="5" operator="greaterThan">
      <formula>$B$12</formula>
    </cfRule>
  </conditionalFormatting>
  <conditionalFormatting sqref="C9">
    <cfRule type="cellIs" dxfId="753" priority="4" operator="greaterThan">
      <formula>$B$12</formula>
    </cfRule>
  </conditionalFormatting>
  <conditionalFormatting sqref="D9">
    <cfRule type="cellIs" dxfId="752" priority="3" operator="greaterThan">
      <formula>$B$12</formula>
    </cfRule>
  </conditionalFormatting>
  <conditionalFormatting sqref="C10">
    <cfRule type="cellIs" dxfId="751" priority="2" operator="greaterThan">
      <formula>$B$12</formula>
    </cfRule>
  </conditionalFormatting>
  <conditionalFormatting sqref="D10">
    <cfRule type="cellIs" dxfId="750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9.109375" style="11" customWidth="1"/>
    <col min="8" max="14" width="6.6640625" style="11" customWidth="1"/>
    <col min="15" max="20" width="6.6640625" style="12" customWidth="1"/>
    <col min="21" max="28" width="6.6640625" style="11" customWidth="1"/>
    <col min="29" max="16384" width="11.44140625" style="11"/>
  </cols>
  <sheetData>
    <row r="1" spans="1:28" x14ac:dyDescent="0.3">
      <c r="A1" s="10"/>
    </row>
    <row r="2" spans="1:28" ht="18" thickBot="1" x14ac:dyDescent="0.35"/>
    <row r="3" spans="1:28" ht="18" thickBot="1" x14ac:dyDescent="0.35">
      <c r="A3" s="135" t="s">
        <v>62</v>
      </c>
      <c r="B3" s="409">
        <v>0.6</v>
      </c>
      <c r="C3" s="409"/>
      <c r="D3" s="410"/>
    </row>
    <row r="4" spans="1:28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391" t="s">
        <v>53</v>
      </c>
      <c r="AA4" s="392"/>
      <c r="AB4" s="393"/>
    </row>
    <row r="5" spans="1:28" ht="18" thickBot="1" x14ac:dyDescent="0.35">
      <c r="A5" s="13" t="s">
        <v>52</v>
      </c>
      <c r="B5" s="14">
        <v>1</v>
      </c>
      <c r="C5" s="15">
        <v>2</v>
      </c>
      <c r="D5" s="15">
        <v>3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394"/>
      <c r="AA5" s="395"/>
      <c r="AB5" s="396"/>
    </row>
    <row r="6" spans="1:28" ht="18" thickBot="1" x14ac:dyDescent="0.35">
      <c r="A6" s="16">
        <v>4</v>
      </c>
      <c r="B6" s="17">
        <f>(((SQRT($B$5)*$B$3)/SQRT(3))*60000)/($A$6*$B$16)</f>
        <v>207.84609690826528</v>
      </c>
      <c r="C6" s="17">
        <f>(((SQRT($C$5)*$B$3)/SQRT(3))*60000)/($A$6*$B$16)</f>
        <v>293.9387691339814</v>
      </c>
      <c r="D6" s="17">
        <f>(((SQRT($D$5)*$B$3)/SQRT(3))*60000)/($A$6*$B$16)</f>
        <v>360</v>
      </c>
      <c r="F6" s="106"/>
      <c r="G6" s="106"/>
      <c r="H6" s="132"/>
      <c r="I6" s="42" t="str">
        <f>IF(H6="","","bis")</f>
        <v/>
      </c>
      <c r="J6" s="19"/>
      <c r="K6" s="20">
        <f>(((SQRT($H6)*$B$3)/SQRT(3))*60000)/($B$12*$B$16)</f>
        <v>0</v>
      </c>
      <c r="L6" s="42" t="str">
        <f>IF(K6="","","bis")</f>
        <v>bis</v>
      </c>
      <c r="M6" s="18">
        <f>(((SQRT($J6)*$B$3)/SQRT(3))*60000)/($B$12*$B$16)</f>
        <v>0</v>
      </c>
      <c r="N6" s="19"/>
      <c r="O6" s="42" t="str">
        <f>IF(N6="","","bis")</f>
        <v/>
      </c>
      <c r="P6" s="19"/>
      <c r="Q6" s="20">
        <f>(((SQRT($N6)*$B$3)/SQRT(3))*60000)/($B$12*$B$16)</f>
        <v>0</v>
      </c>
      <c r="R6" s="42" t="str">
        <f>IF(Q6="","","bis")</f>
        <v>bis</v>
      </c>
      <c r="S6" s="18">
        <f>(((SQRT($P6)*$B$3)/SQRT(3))*60000)/($B$12*$B$16)</f>
        <v>0</v>
      </c>
      <c r="T6" s="132"/>
      <c r="U6" s="42" t="str">
        <f>IF(T6="","","bis")</f>
        <v/>
      </c>
      <c r="V6" s="19"/>
      <c r="W6" s="20">
        <f>(((SQRT($T6)*$B$3)/SQRT(3))*60000)/($B$12*$B$16)</f>
        <v>0</v>
      </c>
      <c r="X6" s="42" t="str">
        <f>IF(W6="","","bis")</f>
        <v>bis</v>
      </c>
      <c r="Y6" s="18">
        <f>(((SQRT($V6)*$B$3)/SQRT(3))*60000)/($B$12*$B$16)</f>
        <v>0</v>
      </c>
      <c r="Z6" s="133"/>
      <c r="AA6" s="42" t="str">
        <f>IF(Z6="","","bis")</f>
        <v/>
      </c>
      <c r="AB6" s="134"/>
    </row>
    <row r="7" spans="1:28" ht="18" thickBot="1" x14ac:dyDescent="0.35">
      <c r="A7" s="21">
        <v>5</v>
      </c>
      <c r="B7" s="17">
        <f>(((SQRT($B$5)*$B$3)/SQRT(3))*60000)/($A$7*$B$16)</f>
        <v>166.27687752661222</v>
      </c>
      <c r="C7" s="17">
        <f>(((SQRT($C$5)*$B$3)/SQRT(3))*60000)/($A$7*$B$16)</f>
        <v>235.15101530718513</v>
      </c>
      <c r="D7" s="17">
        <f>(((SQRT($D$5)*$B$3)/SQRT(3))*60000)/($A$7*$B$16)</f>
        <v>288</v>
      </c>
      <c r="F7" s="106"/>
      <c r="G7" s="106"/>
      <c r="H7" s="132"/>
      <c r="I7" s="42" t="str">
        <f>IF(H7="","","bis")</f>
        <v/>
      </c>
      <c r="J7" s="18"/>
      <c r="K7" s="20">
        <f>(((SQRT($H7)*$B$3)/SQRT(3))*60000)/($B$12*$B$16)</f>
        <v>0</v>
      </c>
      <c r="L7" s="42" t="str">
        <f>IF(K7="","","bis")</f>
        <v>bis</v>
      </c>
      <c r="M7" s="18">
        <f>(((SQRT($J7)*$B$3)/SQRT(3))*60000)/($B$12*$B$16)</f>
        <v>0</v>
      </c>
      <c r="N7" s="20"/>
      <c r="O7" s="42" t="str">
        <f>IF(N7="","","bis")</f>
        <v/>
      </c>
      <c r="P7" s="18"/>
      <c r="Q7" s="20">
        <f>(((SQRT($N7)*$B$3)/SQRT(3))*60000)/($B$12*$B$16)</f>
        <v>0</v>
      </c>
      <c r="R7" s="42" t="str">
        <f>IF(Q7="","","bis")</f>
        <v>bis</v>
      </c>
      <c r="S7" s="18">
        <f>(((SQRT($P7)*$B$3)/SQRT(3))*60000)/($B$12*$B$16)</f>
        <v>0</v>
      </c>
      <c r="T7" s="20"/>
      <c r="U7" s="42" t="str">
        <f>IF(T7="","","bis")</f>
        <v/>
      </c>
      <c r="V7" s="18"/>
      <c r="W7" s="20">
        <f>(((SQRT($T7)*$B$3)/SQRT(3))*60000)/($B$12*$B$16)</f>
        <v>0</v>
      </c>
      <c r="X7" s="42" t="str">
        <f>IF(W7="","","bis")</f>
        <v>bis</v>
      </c>
      <c r="Y7" s="18">
        <f>(((SQRT($V7)*$B$3)/SQRT(3))*60000)/($B$12*$B$16)</f>
        <v>0</v>
      </c>
      <c r="Z7" s="133"/>
      <c r="AA7" s="42" t="str">
        <f>IF(Z7="","","bis")</f>
        <v/>
      </c>
      <c r="AB7" s="134"/>
    </row>
    <row r="8" spans="1:28" ht="18" thickBot="1" x14ac:dyDescent="0.35">
      <c r="A8" s="21">
        <v>6</v>
      </c>
      <c r="B8" s="17">
        <f>(((SQRT($B$5)*$B$3)/SQRT(3))*60000)/($A$8*$B$16)</f>
        <v>138.5640646055102</v>
      </c>
      <c r="C8" s="17">
        <f>(((SQRT($C$5)*$B$3)/SQRT(3))*60000)/($A$8*$B$16)</f>
        <v>195.95917942265427</v>
      </c>
      <c r="D8" s="17">
        <f>(((SQRT($D$5)*$B$3)/SQRT(3))*60000)/($A$8*$B$16)</f>
        <v>240</v>
      </c>
      <c r="F8" s="106"/>
      <c r="G8" s="106"/>
      <c r="H8" s="132"/>
      <c r="I8" s="42" t="str">
        <f>IF(H8="","","bis")</f>
        <v/>
      </c>
      <c r="J8" s="18"/>
      <c r="K8" s="20">
        <f>(((SQRT($H8)*$B$3)/SQRT(3))*60000)/($B$12*$B$16)</f>
        <v>0</v>
      </c>
      <c r="L8" s="42" t="str">
        <f>IF(K8="","","bis")</f>
        <v>bis</v>
      </c>
      <c r="M8" s="18">
        <f>(((SQRT($J8)*$B$3)/SQRT(3))*60000)/($B$12*$B$16)</f>
        <v>0</v>
      </c>
      <c r="N8" s="20"/>
      <c r="O8" s="42" t="str">
        <f>IF(N8="","","bis")</f>
        <v/>
      </c>
      <c r="P8" s="18"/>
      <c r="Q8" s="20">
        <f>(((SQRT($N8)*$B$3)/SQRT(3))*60000)/($B$12*$B$16)</f>
        <v>0</v>
      </c>
      <c r="R8" s="42" t="str">
        <f>IF(Q8="","","bis")</f>
        <v>bis</v>
      </c>
      <c r="S8" s="18">
        <f>(((SQRT($P8)*$B$3)/SQRT(3))*60000)/($B$12*$B$16)</f>
        <v>0</v>
      </c>
      <c r="T8" s="20"/>
      <c r="U8" s="42" t="str">
        <f>IF(T8="","","bis")</f>
        <v/>
      </c>
      <c r="V8" s="18"/>
      <c r="W8" s="20">
        <f>(((SQRT($T8)*$B$3)/SQRT(3))*60000)/($B$12*$B$16)</f>
        <v>0</v>
      </c>
      <c r="X8" s="42" t="str">
        <f>IF(W8="","","bis")</f>
        <v>bis</v>
      </c>
      <c r="Y8" s="18">
        <f>(((SQRT($V8)*$B$3)/SQRT(3))*60000)/($B$12*$B$16)</f>
        <v>0</v>
      </c>
      <c r="Z8" s="133"/>
      <c r="AA8" s="42" t="str">
        <f>IF(Z8="","","bis")</f>
        <v/>
      </c>
      <c r="AB8" s="134"/>
    </row>
    <row r="9" spans="1:28" ht="18" thickBot="1" x14ac:dyDescent="0.35">
      <c r="A9" s="21">
        <v>7</v>
      </c>
      <c r="B9" s="17">
        <f>(((SQRT($B$5)*$B$3)/SQRT(3))*60000)/($A$9*$B$16)</f>
        <v>118.76919823329445</v>
      </c>
      <c r="C9" s="17">
        <f>(((SQRT($C$5)*$B$3)/SQRT(3))*60000)/($A$9*$B$16)</f>
        <v>167.96501093370367</v>
      </c>
      <c r="D9" s="17">
        <f>(((SQRT($D$5)*$B$3)/SQRT(3))*60000)/($A$9*$B$16)</f>
        <v>205.71428571428572</v>
      </c>
      <c r="F9" s="106"/>
      <c r="G9" s="106"/>
      <c r="H9" s="132"/>
      <c r="I9" s="42" t="str">
        <f>IF(H9="","","bis")</f>
        <v/>
      </c>
      <c r="J9" s="18"/>
      <c r="K9" s="20">
        <f>(((SQRT($H9)*$B$3)/SQRT(3))*60000)/($B$12*$B$16)</f>
        <v>0</v>
      </c>
      <c r="L9" s="42" t="str">
        <f>IF(K9="","","bis")</f>
        <v>bis</v>
      </c>
      <c r="M9" s="18">
        <f>(((SQRT($J9)*$B$3)/SQRT(3))*60000)/($B$12*$B$16)</f>
        <v>0</v>
      </c>
      <c r="N9" s="20"/>
      <c r="O9" s="42" t="str">
        <f>IF(N9="","","bis")</f>
        <v/>
      </c>
      <c r="P9" s="18"/>
      <c r="Q9" s="20">
        <f>(((SQRT($N9)*$B$3)/SQRT(3))*60000)/($B$12*$B$16)</f>
        <v>0</v>
      </c>
      <c r="R9" s="42" t="str">
        <f>IF(Q9="","","bis")</f>
        <v>bis</v>
      </c>
      <c r="S9" s="18">
        <f>(((SQRT($P9)*$B$3)/SQRT(3))*60000)/($B$12*$B$16)</f>
        <v>0</v>
      </c>
      <c r="T9" s="20"/>
      <c r="U9" s="42" t="str">
        <f>IF(T9="","","bis")</f>
        <v/>
      </c>
      <c r="V9" s="19"/>
      <c r="W9" s="20">
        <f>(((SQRT($T9)*$B$3)/SQRT(3))*60000)/($B$12*$B$16)</f>
        <v>0</v>
      </c>
      <c r="X9" s="42" t="str">
        <f>IF(W9="","","bis")</f>
        <v>bis</v>
      </c>
      <c r="Y9" s="18">
        <f>(((SQRT($V9)*$B$3)/SQRT(3))*60000)/($B$12*$B$16)</f>
        <v>0</v>
      </c>
      <c r="Z9" s="133"/>
      <c r="AA9" s="42" t="str">
        <f>IF(Z9="","","bis")</f>
        <v/>
      </c>
      <c r="AB9" s="134"/>
    </row>
    <row r="10" spans="1:28" ht="18" thickBot="1" x14ac:dyDescent="0.35">
      <c r="A10" s="22">
        <v>8</v>
      </c>
      <c r="B10" s="27">
        <f>(((SQRT($B$5)*$B$3)/SQRT(3))*60000)/($A$10*$B$16)</f>
        <v>103.92304845413264</v>
      </c>
      <c r="C10" s="27">
        <f>(((SQRT($C$5)*$B$3)/SQRT(3))*60000)/($A$10*$B$16)</f>
        <v>146.9693845669907</v>
      </c>
      <c r="D10" s="27">
        <f>(((SQRT($D$5)*$B$3)/SQRT(3))*60000)/($A$10*$B$16)</f>
        <v>180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(((SQRT($H10)*$B$3)/SQRT(3))*60000)/($B$12*$B$16)</f>
        <v>0</v>
      </c>
      <c r="L10" s="42" t="str">
        <f>IF(K10="","","bis")</f>
        <v>bis</v>
      </c>
      <c r="M10" s="18">
        <f>(((SQRT($J10)*$B$3)/SQRT(3))*60000)/($B$12*$B$16)</f>
        <v>0</v>
      </c>
      <c r="N10" s="20"/>
      <c r="O10" s="42" t="str">
        <f>IF(N10="","","bis")</f>
        <v/>
      </c>
      <c r="P10" s="18"/>
      <c r="Q10" s="20">
        <f>(((SQRT($N10)*$B$3)/SQRT(3))*60000)/($B$12*$B$16)</f>
        <v>0</v>
      </c>
      <c r="R10" s="42" t="str">
        <f>IF(Q10="","","bis")</f>
        <v>bis</v>
      </c>
      <c r="S10" s="18">
        <f>(((SQRT($P10)*$B$3)/SQRT(3))*60000)/($B$12*$B$16)</f>
        <v>0</v>
      </c>
      <c r="T10" s="20"/>
      <c r="U10" s="42" t="str">
        <f>IF(T10="","","bis")</f>
        <v/>
      </c>
      <c r="V10" s="18"/>
      <c r="W10" s="20">
        <f>(((SQRT($T10)*$B$3)/SQRT(3))*60000)/($B$12*$B$16)</f>
        <v>0</v>
      </c>
      <c r="X10" s="42" t="str">
        <f>IF(W10="","","bis")</f>
        <v>bis</v>
      </c>
      <c r="Y10" s="18">
        <f>(((SQRT($V10)*$B$3)/SQRT(3))*60000)/($B$12*$B$16)</f>
        <v>0</v>
      </c>
      <c r="Z10" s="133"/>
      <c r="AA10" s="42" t="str">
        <f>IF(Z10="","","bis")</f>
        <v/>
      </c>
      <c r="AB10" s="134"/>
    </row>
    <row r="11" spans="1:28" ht="18" thickBot="1" x14ac:dyDescent="0.35">
      <c r="J11" s="2"/>
    </row>
    <row r="12" spans="1:28" ht="18" thickBot="1" x14ac:dyDescent="0.35">
      <c r="A12" s="23" t="s">
        <v>56</v>
      </c>
      <c r="B12" s="8">
        <v>300</v>
      </c>
      <c r="C12" s="24"/>
      <c r="D12" s="417"/>
      <c r="E12" s="418"/>
      <c r="F12" s="49"/>
      <c r="G12" s="115"/>
    </row>
    <row r="13" spans="1:28" ht="18" thickBot="1" x14ac:dyDescent="0.35">
      <c r="A13" s="23" t="s">
        <v>57</v>
      </c>
      <c r="B13" s="25">
        <f>POWER(((SQRT(3)*$C$13)/$B$3),2)</f>
        <v>3.255208333333333</v>
      </c>
      <c r="C13" s="45">
        <f>(B12*B14*B16)/60000</f>
        <v>0.625</v>
      </c>
      <c r="D13" s="419"/>
      <c r="E13" s="419"/>
      <c r="F13" s="49"/>
      <c r="G13" s="115"/>
    </row>
    <row r="14" spans="1:28" ht="18" thickBot="1" x14ac:dyDescent="0.35">
      <c r="A14" s="23" t="s">
        <v>58</v>
      </c>
      <c r="B14" s="9">
        <v>5</v>
      </c>
      <c r="D14" s="46"/>
      <c r="F14" s="179"/>
      <c r="G14" s="115"/>
    </row>
    <row r="15" spans="1:28" ht="18" thickBot="1" x14ac:dyDescent="0.35">
      <c r="A15" s="23"/>
      <c r="B15" s="49"/>
      <c r="C15" s="26"/>
      <c r="D15" s="417"/>
      <c r="E15" s="417"/>
      <c r="F15" s="181"/>
      <c r="G15" s="184">
        <f>(B12*B18/100)*B19</f>
        <v>300</v>
      </c>
    </row>
    <row r="16" spans="1:28" ht="18" thickBot="1" x14ac:dyDescent="0.35">
      <c r="A16" s="174" t="s">
        <v>89</v>
      </c>
      <c r="B16" s="28">
        <v>25</v>
      </c>
    </row>
    <row r="17" spans="1:12" ht="18" thickBot="1" x14ac:dyDescent="0.35">
      <c r="A17" s="175" t="s">
        <v>90</v>
      </c>
      <c r="B17" s="28">
        <v>75</v>
      </c>
    </row>
    <row r="18" spans="1:12" ht="18" thickBot="1" x14ac:dyDescent="0.35">
      <c r="A18" s="46" t="s">
        <v>91</v>
      </c>
      <c r="B18" s="47">
        <f>(B16*100)/B17</f>
        <v>33.333333333333336</v>
      </c>
    </row>
    <row r="19" spans="1:12" ht="18" thickBot="1" x14ac:dyDescent="0.35">
      <c r="A19" s="174" t="s">
        <v>92</v>
      </c>
      <c r="B19" s="48">
        <v>3</v>
      </c>
    </row>
    <row r="20" spans="1:12" ht="18" thickBot="1" x14ac:dyDescent="0.35">
      <c r="A20" s="11" t="s">
        <v>236</v>
      </c>
      <c r="B20" s="177">
        <v>3</v>
      </c>
      <c r="J20" s="406">
        <f>B20*((B16/B17)*B19)</f>
        <v>3</v>
      </c>
      <c r="K20" s="407"/>
      <c r="L20" s="408"/>
    </row>
  </sheetData>
  <sheetProtection algorithmName="SHA-512" hashValue="R6b639QhL+XtTBDcuTqeX0Pn+Mn9P7dFFh7KdQ+Kr5ikmPmURKfD/+qnpsePy38+n3ap2uoNXDuin8ViLJ/T9g==" saltValue="67peH9w67oVSmDgB8pfcKg==" spinCount="100000" sheet="1" objects="1" scenarios="1"/>
  <mergeCells count="15">
    <mergeCell ref="J20:L20"/>
    <mergeCell ref="D12:E12"/>
    <mergeCell ref="D13:E13"/>
    <mergeCell ref="D15:E15"/>
    <mergeCell ref="B3:D3"/>
    <mergeCell ref="H4:M4"/>
    <mergeCell ref="Z4:AB5"/>
    <mergeCell ref="H5:J5"/>
    <mergeCell ref="K5:M5"/>
    <mergeCell ref="N5:P5"/>
    <mergeCell ref="Q5:S5"/>
    <mergeCell ref="T5:V5"/>
    <mergeCell ref="W5:Y5"/>
    <mergeCell ref="N4:S4"/>
    <mergeCell ref="T4:Y4"/>
  </mergeCells>
  <conditionalFormatting sqref="B6">
    <cfRule type="cellIs" dxfId="749" priority="15" operator="greaterThan">
      <formula>$B$12</formula>
    </cfRule>
  </conditionalFormatting>
  <conditionalFormatting sqref="C6">
    <cfRule type="cellIs" dxfId="748" priority="14" operator="greaterThan">
      <formula>$B$12</formula>
    </cfRule>
  </conditionalFormatting>
  <conditionalFormatting sqref="D6">
    <cfRule type="cellIs" dxfId="747" priority="13" operator="greaterThan">
      <formula>$B$12</formula>
    </cfRule>
  </conditionalFormatting>
  <conditionalFormatting sqref="B7">
    <cfRule type="cellIs" dxfId="746" priority="12" operator="greaterThan">
      <formula>$B$12</formula>
    </cfRule>
  </conditionalFormatting>
  <conditionalFormatting sqref="C7">
    <cfRule type="cellIs" dxfId="745" priority="11" operator="greaterThan">
      <formula>$B$12</formula>
    </cfRule>
  </conditionalFormatting>
  <conditionalFormatting sqref="D7">
    <cfRule type="cellIs" dxfId="744" priority="10" operator="greaterThan">
      <formula>$B$12</formula>
    </cfRule>
  </conditionalFormatting>
  <conditionalFormatting sqref="B8">
    <cfRule type="cellIs" dxfId="743" priority="9" operator="greaterThan">
      <formula>$B$12</formula>
    </cfRule>
  </conditionalFormatting>
  <conditionalFormatting sqref="C8">
    <cfRule type="cellIs" dxfId="742" priority="8" operator="greaterThan">
      <formula>$B$12</formula>
    </cfRule>
  </conditionalFormatting>
  <conditionalFormatting sqref="D8">
    <cfRule type="cellIs" dxfId="741" priority="7" operator="greaterThan">
      <formula>$B$12</formula>
    </cfRule>
  </conditionalFormatting>
  <conditionalFormatting sqref="B9">
    <cfRule type="cellIs" dxfId="740" priority="6" operator="greaterThan">
      <formula>$B$12</formula>
    </cfRule>
  </conditionalFormatting>
  <conditionalFormatting sqref="B10">
    <cfRule type="cellIs" dxfId="739" priority="5" operator="greaterThan">
      <formula>$B$12</formula>
    </cfRule>
  </conditionalFormatting>
  <conditionalFormatting sqref="C9">
    <cfRule type="cellIs" dxfId="738" priority="4" operator="greaterThan">
      <formula>$B$12</formula>
    </cfRule>
  </conditionalFormatting>
  <conditionalFormatting sqref="D9">
    <cfRule type="cellIs" dxfId="737" priority="3" operator="greaterThan">
      <formula>$B$12</formula>
    </cfRule>
  </conditionalFormatting>
  <conditionalFormatting sqref="C10">
    <cfRule type="cellIs" dxfId="736" priority="2" operator="greaterThan">
      <formula>$B$12</formula>
    </cfRule>
  </conditionalFormatting>
  <conditionalFormatting sqref="D10">
    <cfRule type="cellIs" dxfId="735" priority="1" operator="greaterThan">
      <formula>$B$12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"/>
  <sheetViews>
    <sheetView showRowColHeaders="0" zoomScale="80" zoomScaleNormal="80" workbookViewId="0"/>
  </sheetViews>
  <sheetFormatPr baseColWidth="10" defaultColWidth="11.44140625" defaultRowHeight="17.399999999999999" x14ac:dyDescent="0.3"/>
  <cols>
    <col min="1" max="1" width="26.109375" style="11" bestFit="1" customWidth="1"/>
    <col min="2" max="2" width="13.88671875" style="11" bestFit="1" customWidth="1"/>
    <col min="3" max="3" width="9.6640625" style="11" bestFit="1" customWidth="1"/>
    <col min="4" max="4" width="12.5546875" style="11" bestFit="1" customWidth="1"/>
    <col min="5" max="5" width="11.44140625" style="11"/>
    <col min="6" max="6" width="18.6640625" style="11" bestFit="1" customWidth="1"/>
    <col min="7" max="7" width="18.44140625" style="11" customWidth="1"/>
    <col min="8" max="14" width="6.6640625" style="11" customWidth="1"/>
    <col min="15" max="20" width="6.6640625" style="12" customWidth="1"/>
    <col min="21" max="34" width="6.6640625" style="11" customWidth="1"/>
    <col min="35" max="16384" width="11.44140625" style="11"/>
  </cols>
  <sheetData>
    <row r="1" spans="1:34" x14ac:dyDescent="0.3">
      <c r="A1" s="10"/>
    </row>
    <row r="2" spans="1:34" ht="18" thickBot="1" x14ac:dyDescent="0.35"/>
    <row r="3" spans="1:34" ht="18" thickBot="1" x14ac:dyDescent="0.35">
      <c r="A3" s="32" t="s">
        <v>60</v>
      </c>
      <c r="B3" s="420">
        <v>0.8</v>
      </c>
      <c r="C3" s="420"/>
      <c r="D3" s="421"/>
    </row>
    <row r="4" spans="1:34" ht="18" thickBot="1" x14ac:dyDescent="0.35">
      <c r="H4" s="381">
        <v>50</v>
      </c>
      <c r="I4" s="382"/>
      <c r="J4" s="382"/>
      <c r="K4" s="382"/>
      <c r="L4" s="382"/>
      <c r="M4" s="399"/>
      <c r="N4" s="383">
        <v>75</v>
      </c>
      <c r="O4" s="383"/>
      <c r="P4" s="383"/>
      <c r="Q4" s="383"/>
      <c r="R4" s="383"/>
      <c r="S4" s="400"/>
      <c r="T4" s="384">
        <v>90</v>
      </c>
      <c r="U4" s="385"/>
      <c r="V4" s="385"/>
      <c r="W4" s="385"/>
      <c r="X4" s="385"/>
      <c r="Y4" s="401"/>
      <c r="Z4" s="411">
        <v>0.95</v>
      </c>
      <c r="AA4" s="412"/>
      <c r="AB4" s="412"/>
      <c r="AC4" s="412"/>
      <c r="AD4" s="412"/>
      <c r="AE4" s="413"/>
      <c r="AF4" s="391" t="s">
        <v>53</v>
      </c>
      <c r="AG4" s="392"/>
      <c r="AH4" s="393"/>
    </row>
    <row r="5" spans="1:34" ht="18" thickBot="1" x14ac:dyDescent="0.35">
      <c r="A5" s="13" t="s">
        <v>52</v>
      </c>
      <c r="B5" s="14">
        <v>1</v>
      </c>
      <c r="C5" s="15">
        <v>3</v>
      </c>
      <c r="D5" s="15">
        <v>6</v>
      </c>
      <c r="F5" s="13" t="s">
        <v>9</v>
      </c>
      <c r="G5" s="13" t="s">
        <v>11</v>
      </c>
      <c r="H5" s="402" t="s">
        <v>14</v>
      </c>
      <c r="I5" s="403"/>
      <c r="J5" s="404"/>
      <c r="K5" s="381" t="s">
        <v>55</v>
      </c>
      <c r="L5" s="382"/>
      <c r="M5" s="399"/>
      <c r="N5" s="405" t="s">
        <v>14</v>
      </c>
      <c r="O5" s="383"/>
      <c r="P5" s="400"/>
      <c r="Q5" s="405" t="s">
        <v>55</v>
      </c>
      <c r="R5" s="383"/>
      <c r="S5" s="400"/>
      <c r="T5" s="384" t="s">
        <v>14</v>
      </c>
      <c r="U5" s="385"/>
      <c r="V5" s="401"/>
      <c r="W5" s="388" t="s">
        <v>55</v>
      </c>
      <c r="X5" s="389"/>
      <c r="Y5" s="390"/>
      <c r="Z5" s="414" t="s">
        <v>14</v>
      </c>
      <c r="AA5" s="415"/>
      <c r="AB5" s="416"/>
      <c r="AC5" s="414" t="s">
        <v>55</v>
      </c>
      <c r="AD5" s="415"/>
      <c r="AE5" s="416"/>
      <c r="AF5" s="394"/>
      <c r="AG5" s="395"/>
      <c r="AH5" s="396"/>
    </row>
    <row r="6" spans="1:34" ht="18" thickBot="1" x14ac:dyDescent="0.35">
      <c r="A6" s="16">
        <v>6</v>
      </c>
      <c r="B6" s="17">
        <f>(((SQRT(B5)*$B$3)/SQRT(3))*$C$15)/$A6</f>
        <v>184.75208614068026</v>
      </c>
      <c r="C6" s="17">
        <f>(((SQRT(C5)*$B$3)/SQRT(3))*$C$15)/$A6</f>
        <v>320</v>
      </c>
      <c r="D6" s="17">
        <f>(((SQRT(D5)*$B$3)/SQRT(3))*$C$15)/$A6</f>
        <v>452.54833995939043</v>
      </c>
      <c r="F6" s="106" t="str">
        <f>_1964b</f>
        <v>Agrotop</v>
      </c>
      <c r="G6" s="106" t="str">
        <f>_1964c</f>
        <v>CVI 80-02</v>
      </c>
      <c r="H6" s="132">
        <f>_1964h</f>
        <v>3</v>
      </c>
      <c r="I6" s="42" t="str">
        <f>IF(H6="","","bis")</f>
        <v>bis</v>
      </c>
      <c r="J6" s="19">
        <f>_1964i</f>
        <v>8</v>
      </c>
      <c r="K6" s="20">
        <f>(((SQRT($H6)*$B$3)/SQRT(3))*60000)/($B$12*$B$15)</f>
        <v>9.6</v>
      </c>
      <c r="L6" s="42" t="str">
        <f>IF(K6="","","bis")</f>
        <v>bis</v>
      </c>
      <c r="M6" s="18">
        <f>(((SQRT($J6)*$B$3)/SQRT(3))*60000)/($B$12*$B$15)</f>
        <v>15.676734353812344</v>
      </c>
      <c r="N6" s="19">
        <f>_1964j</f>
        <v>3</v>
      </c>
      <c r="O6" s="42" t="str">
        <f>IF(N6="","","bis")</f>
        <v>bis</v>
      </c>
      <c r="P6" s="18">
        <f>_1964k</f>
        <v>8</v>
      </c>
      <c r="Q6" s="20">
        <f>(((SQRT($N6)*$B$3)/SQRT(3))*60000)/($B$12*$B$15)</f>
        <v>9.6</v>
      </c>
      <c r="R6" s="42" t="str">
        <f>IF(Q6="","","bis")</f>
        <v>bis</v>
      </c>
      <c r="S6" s="18">
        <f>(((SQRT($P6)*$B$3)/SQRT(3))*60000)/($B$12*$B$15)</f>
        <v>15.676734353812344</v>
      </c>
      <c r="T6" s="20">
        <f>_1964l</f>
        <v>3</v>
      </c>
      <c r="U6" s="42" t="str">
        <f>IF(T6="","","bis")</f>
        <v>bis</v>
      </c>
      <c r="V6" s="19">
        <f>_1964m</f>
        <v>8</v>
      </c>
      <c r="W6" s="20">
        <f>(((SQRT($T6)*$B$3)/SQRT(3))*60000)/($B$12*$B$15)</f>
        <v>9.6</v>
      </c>
      <c r="X6" s="42" t="str">
        <f>IF(W6="","","bis")</f>
        <v>bis</v>
      </c>
      <c r="Y6" s="19">
        <f>(((SQRT($V6)*$B$3)/SQRT(3))*60000)/($B$12*$B$15)</f>
        <v>15.676734353812344</v>
      </c>
      <c r="Z6" s="20"/>
      <c r="AA6" s="42" t="str">
        <f>IF(Z6="","","bis")</f>
        <v/>
      </c>
      <c r="AB6" s="20"/>
      <c r="AC6" s="20">
        <f>(((SQRT($Z6)*$B$3)/SQRT(3))*60000)/($B$12*$B$15)</f>
        <v>0</v>
      </c>
      <c r="AD6" s="42" t="str">
        <f>IF(AC6="","","bis")</f>
        <v>bis</v>
      </c>
      <c r="AE6" s="18">
        <f>(((SQRT($AB6)*$B$3)/SQRT(3))*60000)/($B$12*$B$15)</f>
        <v>0</v>
      </c>
      <c r="AF6" s="133">
        <f>_1964f</f>
        <v>3</v>
      </c>
      <c r="AG6" s="42" t="str">
        <f>IF(AF6="","","bis")</f>
        <v>bis</v>
      </c>
      <c r="AH6" s="134">
        <f>_1964g</f>
        <v>8</v>
      </c>
    </row>
    <row r="7" spans="1:34" ht="18" thickBot="1" x14ac:dyDescent="0.35">
      <c r="A7" s="21">
        <v>7</v>
      </c>
      <c r="B7" s="17">
        <f>(((SQRT(B5)*$B$3)/SQRT(3))*$C$15)/$A7</f>
        <v>158.35893097772595</v>
      </c>
      <c r="C7" s="17">
        <f>(((SQRT(C5)*$B$3)/SQRT(3))*$C$15)/$A7</f>
        <v>274.28571428571428</v>
      </c>
      <c r="D7" s="17">
        <f>(((SQRT(D5)*$B$3)/SQRT(3))*$C$15)/$A7</f>
        <v>387.89857710804893</v>
      </c>
      <c r="F7" s="106" t="str">
        <f>_2052b</f>
        <v>Lechler</v>
      </c>
      <c r="G7" s="106" t="str">
        <f>_2052c</f>
        <v>IDK 90 02 C</v>
      </c>
      <c r="H7" s="132">
        <f>_2052h</f>
        <v>1.5</v>
      </c>
      <c r="I7" s="42" t="str">
        <f>IF(H7="","","bis")</f>
        <v>bis</v>
      </c>
      <c r="J7" s="18">
        <f>_2052i</f>
        <v>3</v>
      </c>
      <c r="K7" s="20">
        <f>(((SQRT($H7)*$B$3)/SQRT(3))*60000)/($B$12*$B$15)</f>
        <v>6.7882250993908562</v>
      </c>
      <c r="L7" s="42" t="str">
        <f>IF(K7="","","bis")</f>
        <v>bis</v>
      </c>
      <c r="M7" s="18">
        <f>(((SQRT($J7)*$B$3)/SQRT(3))*60000)/($B$12*$B$15)</f>
        <v>9.6</v>
      </c>
      <c r="N7" s="20">
        <f>_2052j</f>
        <v>1.5</v>
      </c>
      <c r="O7" s="42" t="str">
        <f>IF(N7="","","bis")</f>
        <v>bis</v>
      </c>
      <c r="P7" s="18">
        <f>_2052k</f>
        <v>3</v>
      </c>
      <c r="Q7" s="20">
        <f>(((SQRT($N7)*$B$3)/SQRT(3))*60000)/($B$12*$B$15)</f>
        <v>6.7882250993908562</v>
      </c>
      <c r="R7" s="42" t="str">
        <f>IF(Q7="","","bis")</f>
        <v>bis</v>
      </c>
      <c r="S7" s="18">
        <f>(((SQRT($P7)*$B$3)/SQRT(3))*60000)/($B$12*$B$15)</f>
        <v>9.6</v>
      </c>
      <c r="T7" s="20">
        <f>_2052l</f>
        <v>1.5</v>
      </c>
      <c r="U7" s="42" t="str">
        <f>IF(T7="","","bis")</f>
        <v>bis</v>
      </c>
      <c r="V7" s="18">
        <f>_2052m</f>
        <v>3</v>
      </c>
      <c r="W7" s="20">
        <f>(((SQRT($T7)*$B$3)/SQRT(3))*60000)/($B$12*$B$15)</f>
        <v>6.7882250993908562</v>
      </c>
      <c r="X7" s="42" t="str">
        <f>IF(W7="","","bis")</f>
        <v>bis</v>
      </c>
      <c r="Y7" s="18">
        <f>(((SQRT($V7)*$B$3)/SQRT(3))*60000)/($B$12*$B$15)</f>
        <v>9.6</v>
      </c>
      <c r="Z7" s="20">
        <f>_2052n</f>
        <v>1.5</v>
      </c>
      <c r="AA7" s="42" t="str">
        <f>IF(Z7="","","bis")</f>
        <v>bis</v>
      </c>
      <c r="AB7" s="20">
        <f>_2052o</f>
        <v>1.6</v>
      </c>
      <c r="AC7" s="19">
        <f>(((SQRT($Z7)*$B$3)/SQRT(3))*60000)/($B$12*$B$15)</f>
        <v>6.7882250993908562</v>
      </c>
      <c r="AD7" s="19" t="str">
        <f t="shared" ref="AD7:AD10" si="0">IF(AC7="","","bis")</f>
        <v>bis</v>
      </c>
      <c r="AE7" s="19">
        <f t="shared" ref="AE7:AE10" si="1">(((SQRT($AB7)*$B$3)/SQRT(3))*60000)/($B$12*$B$15)</f>
        <v>7.0108487360661265</v>
      </c>
      <c r="AF7" s="133">
        <f>_2052f</f>
        <v>1.5</v>
      </c>
      <c r="AG7" s="42" t="str">
        <f>IF(AF7="","","bis")</f>
        <v>bis</v>
      </c>
      <c r="AH7" s="134">
        <f>_2052g</f>
        <v>8</v>
      </c>
    </row>
    <row r="8" spans="1:34" ht="18" thickBot="1" x14ac:dyDescent="0.35">
      <c r="A8" s="21">
        <v>8</v>
      </c>
      <c r="B8" s="17">
        <f>(((SQRT(B5)*$B$3)/SQRT(3))*$C$15)/$A8</f>
        <v>138.5640646055102</v>
      </c>
      <c r="C8" s="17">
        <f>(((SQRT(C5)*$B$3)/SQRT(3))*1200)/$A8</f>
        <v>120</v>
      </c>
      <c r="D8" s="17">
        <f>(((SQRT(D5)*$B$3)/SQRT(3))*1200)/$A8</f>
        <v>169.70562748477141</v>
      </c>
      <c r="F8" s="106" t="str">
        <f>_2290b</f>
        <v>JohnDeere</v>
      </c>
      <c r="G8" s="106" t="str">
        <f>_2290c</f>
        <v>LDAC 90-02</v>
      </c>
      <c r="H8" s="132">
        <f>_2290h</f>
        <v>1.5</v>
      </c>
      <c r="I8" s="42" t="str">
        <f>IF(H8="","","bis")</f>
        <v>bis</v>
      </c>
      <c r="J8" s="18">
        <f>_2290i</f>
        <v>3</v>
      </c>
      <c r="K8" s="20">
        <f>(((SQRT($H8)*$B$3)/SQRT(3))*60000)/($B$12*$B$15)</f>
        <v>6.7882250993908562</v>
      </c>
      <c r="L8" s="42" t="str">
        <f>IF(K8="","","bis")</f>
        <v>bis</v>
      </c>
      <c r="M8" s="18">
        <f>(((SQRT($J8)*$B$3)/SQRT(3))*60000)/($B$12*$B$15)</f>
        <v>9.6</v>
      </c>
      <c r="N8" s="20">
        <f>_2290j</f>
        <v>1.5</v>
      </c>
      <c r="O8" s="42" t="str">
        <f>IF(N8="","","bis")</f>
        <v>bis</v>
      </c>
      <c r="P8" s="18">
        <f>_2290k</f>
        <v>3</v>
      </c>
      <c r="Q8" s="20">
        <f>(((SQRT($N8)*$B$3)/SQRT(3))*60000)/($B$12*$B$15)</f>
        <v>6.7882250993908562</v>
      </c>
      <c r="R8" s="42" t="str">
        <f>IF(Q8="","","bis")</f>
        <v>bis</v>
      </c>
      <c r="S8" s="18">
        <f>(((SQRT($P8)*$B$3)/SQRT(3))*60000)/($B$12*$B$15)</f>
        <v>9.6</v>
      </c>
      <c r="T8" s="20">
        <f>_2290l</f>
        <v>1.5</v>
      </c>
      <c r="U8" s="42" t="str">
        <f>IF(T8="","","bis")</f>
        <v>bis</v>
      </c>
      <c r="V8" s="18">
        <f>_2290m</f>
        <v>3</v>
      </c>
      <c r="W8" s="20">
        <f>(((SQRT($T8)*$B$3)/SQRT(3))*60000)/($B$12*$B$15)</f>
        <v>6.7882250993908562</v>
      </c>
      <c r="X8" s="42" t="str">
        <f>IF(W8="","","bis")</f>
        <v>bis</v>
      </c>
      <c r="Y8" s="18">
        <f>(((SQRT($V8)*$B$3)/SQRT(3))*60000)/($B$12*$B$15)</f>
        <v>9.6</v>
      </c>
      <c r="Z8" s="20">
        <f>_2290n</f>
        <v>1.5</v>
      </c>
      <c r="AA8" s="42" t="str">
        <f>IF(Z8="","","bis")</f>
        <v>bis</v>
      </c>
      <c r="AB8" s="20">
        <f>_2290o</f>
        <v>1.6</v>
      </c>
      <c r="AC8" s="19">
        <f t="shared" ref="AC8:AC10" si="2">(((SQRT($Z8)*$B$3)/SQRT(3))*60000)/($B$12*$B$15)</f>
        <v>6.7882250993908562</v>
      </c>
      <c r="AD8" s="19" t="str">
        <f t="shared" si="0"/>
        <v>bis</v>
      </c>
      <c r="AE8" s="19">
        <f t="shared" si="1"/>
        <v>7.0108487360661265</v>
      </c>
      <c r="AF8" s="133">
        <f>_2290f</f>
        <v>1.5</v>
      </c>
      <c r="AG8" s="42" t="str">
        <f>IF(AF8="","","bis")</f>
        <v>bis</v>
      </c>
      <c r="AH8" s="134">
        <f>_2290g</f>
        <v>8</v>
      </c>
    </row>
    <row r="9" spans="1:34" ht="18" thickBot="1" x14ac:dyDescent="0.35">
      <c r="A9" s="21">
        <v>9</v>
      </c>
      <c r="B9" s="17">
        <f>(((SQRT(B5)*$B$3)/SQRT(3))*$C$15)/$A9</f>
        <v>123.16805742712017</v>
      </c>
      <c r="C9" s="17">
        <f>(((SQRT(C5)*$B$3)/SQRT(3))*$C$15)/$A9</f>
        <v>213.33333333333334</v>
      </c>
      <c r="D9" s="17">
        <f>(((SQRT(D5)*$B$3)/SQRT(3))*$C$15)/$A9</f>
        <v>301.69889330626029</v>
      </c>
      <c r="F9" s="106" t="str">
        <f>_2309b</f>
        <v>Agrotop</v>
      </c>
      <c r="G9" s="106" t="str">
        <f>_2309c</f>
        <v>AirMix 80 02</v>
      </c>
      <c r="H9" s="132">
        <f>_2309h</f>
        <v>1.5</v>
      </c>
      <c r="I9" s="42" t="str">
        <f>IF(H9="","","bis")</f>
        <v>bis</v>
      </c>
      <c r="J9" s="18">
        <f>_2309i</f>
        <v>6</v>
      </c>
      <c r="K9" s="20">
        <f>(((SQRT($H9)*$B$3)/SQRT(3))*60000)/($B$12*$B$15)</f>
        <v>6.7882250993908562</v>
      </c>
      <c r="L9" s="42" t="str">
        <f>IF(K9="","","bis")</f>
        <v>bis</v>
      </c>
      <c r="M9" s="18">
        <f>(((SQRT($J9)*$B$3)/SQRT(3))*60000)/($B$12*$B$15)</f>
        <v>13.576450198781712</v>
      </c>
      <c r="N9" s="20">
        <f>_2309j</f>
        <v>1.5</v>
      </c>
      <c r="O9" s="42" t="str">
        <f>IF(N9="","","bis")</f>
        <v>bis</v>
      </c>
      <c r="P9" s="18">
        <f>_2309k</f>
        <v>6</v>
      </c>
      <c r="Q9" s="20">
        <f>(((SQRT($N9)*$B$3)/SQRT(3))*60000)/($B$12*$B$15)</f>
        <v>6.7882250993908562</v>
      </c>
      <c r="R9" s="42" t="str">
        <f>IF(Q9="","","bis")</f>
        <v>bis</v>
      </c>
      <c r="S9" s="18">
        <f>(((SQRT($P9)*$B$3)/SQRT(3))*60000)/($B$12*$B$15)</f>
        <v>13.576450198781712</v>
      </c>
      <c r="T9" s="20">
        <f>_2309l</f>
        <v>1.5</v>
      </c>
      <c r="U9" s="42" t="str">
        <f>IF(T9="","","bis")</f>
        <v>bis</v>
      </c>
      <c r="V9" s="19">
        <f>_2309m</f>
        <v>6</v>
      </c>
      <c r="W9" s="20">
        <f>(((SQRT($T9)*$B$3)/SQRT(3))*60000)/($B$12*$B$15)</f>
        <v>6.7882250993908562</v>
      </c>
      <c r="X9" s="42" t="str">
        <f>IF(W9="","","bis")</f>
        <v>bis</v>
      </c>
      <c r="Y9" s="18">
        <f>(((SQRT($V9)*$B$3)/SQRT(3))*60000)/($B$12*$B$15)</f>
        <v>13.576450198781712</v>
      </c>
      <c r="Z9" s="20"/>
      <c r="AA9" s="42" t="str">
        <f>IF(Z9="","","bis")</f>
        <v/>
      </c>
      <c r="AB9" s="20"/>
      <c r="AC9" s="19">
        <f t="shared" si="2"/>
        <v>0</v>
      </c>
      <c r="AD9" s="19" t="str">
        <f t="shared" si="0"/>
        <v>bis</v>
      </c>
      <c r="AE9" s="19">
        <f t="shared" si="1"/>
        <v>0</v>
      </c>
      <c r="AF9" s="133">
        <f>_2309f</f>
        <v>1.5</v>
      </c>
      <c r="AG9" s="42" t="str">
        <f>IF(AF9="","","bis")</f>
        <v>bis</v>
      </c>
      <c r="AH9" s="134">
        <f>_2309g</f>
        <v>6</v>
      </c>
    </row>
    <row r="10" spans="1:34" ht="18" thickBot="1" x14ac:dyDescent="0.35">
      <c r="A10" s="22">
        <v>10</v>
      </c>
      <c r="B10" s="27">
        <f>(((SQRT(B5)*$B$3)/SQRT(3))*$C$15)/$A10</f>
        <v>110.85125168440815</v>
      </c>
      <c r="C10" s="27">
        <f>(((SQRT(C5)*$B$3)/SQRT(3))*$C$15)/$A10</f>
        <v>192</v>
      </c>
      <c r="D10" s="27">
        <f>(((SQRT(D5)*$B$3)/SQRT(3))*$C$15)/$A10</f>
        <v>271.52900397563428</v>
      </c>
      <c r="F10" s="106"/>
      <c r="G10" s="106"/>
      <c r="H10" s="132"/>
      <c r="I10" s="42" t="str">
        <f>IF(H10="","","bis")</f>
        <v/>
      </c>
      <c r="J10" s="18"/>
      <c r="K10" s="20">
        <f>(((SQRT($H10)*$B$3)/SQRT(3))*60000)/($B$12*$B$15)</f>
        <v>0</v>
      </c>
      <c r="L10" s="42" t="str">
        <f>IF(K10="","","bis")</f>
        <v>bis</v>
      </c>
      <c r="M10" s="18">
        <f>(((SQRT($J10)*$B$3)/SQRT(3))*60000)/($B$12*$B$15)</f>
        <v>0</v>
      </c>
      <c r="N10" s="20"/>
      <c r="O10" s="42" t="str">
        <f>IF(N10="","","bis")</f>
        <v/>
      </c>
      <c r="P10" s="18"/>
      <c r="Q10" s="20">
        <f>(((SQRT($N10)*$B$3)/SQRT(3))*60000)/($B$12*$B$15)</f>
        <v>0</v>
      </c>
      <c r="R10" s="42" t="str">
        <f>IF(Q10="","","bis")</f>
        <v>bis</v>
      </c>
      <c r="S10" s="18">
        <f>(((SQRT($P10)*$B$3)/SQRT(3))*60000)/($B$12*$B$15)</f>
        <v>0</v>
      </c>
      <c r="T10" s="20"/>
      <c r="U10" s="42" t="str">
        <f>IF(T10="","","bis")</f>
        <v/>
      </c>
      <c r="V10" s="18"/>
      <c r="W10" s="20">
        <f>(((SQRT($T10)*$B$3)/SQRT(3))*60000)/($B$12*$B$15)</f>
        <v>0</v>
      </c>
      <c r="X10" s="42" t="str">
        <f>IF(W10="","","bis")</f>
        <v>bis</v>
      </c>
      <c r="Y10" s="18">
        <f>(((SQRT($V10)*$B$3)/SQRT(3))*60000)/($B$12*$B$15)</f>
        <v>0</v>
      </c>
      <c r="Z10" s="20"/>
      <c r="AA10" s="42" t="str">
        <f>IF(Z10="","","bis")</f>
        <v/>
      </c>
      <c r="AB10" s="20"/>
      <c r="AC10" s="19">
        <f t="shared" si="2"/>
        <v>0</v>
      </c>
      <c r="AD10" s="19" t="str">
        <f t="shared" si="0"/>
        <v>bis</v>
      </c>
      <c r="AE10" s="19">
        <f t="shared" si="1"/>
        <v>0</v>
      </c>
      <c r="AF10" s="133"/>
      <c r="AG10" s="42" t="str">
        <f>IF(AF10="","","bis")</f>
        <v/>
      </c>
      <c r="AH10" s="134"/>
    </row>
    <row r="11" spans="1:34" ht="18" thickBot="1" x14ac:dyDescent="0.35">
      <c r="J11" s="2"/>
    </row>
    <row r="12" spans="1:34" ht="18" thickBot="1" x14ac:dyDescent="0.35">
      <c r="A12" s="23" t="s">
        <v>56</v>
      </c>
      <c r="B12" s="8">
        <v>200</v>
      </c>
      <c r="C12" s="24"/>
    </row>
    <row r="13" spans="1:34" ht="18" thickBot="1" x14ac:dyDescent="0.35">
      <c r="A13" s="23" t="s">
        <v>57</v>
      </c>
      <c r="B13" s="25">
        <f>POWER(((SQRT(3)*$C$13)/$B$3),2)</f>
        <v>2.083333333333333</v>
      </c>
      <c r="C13" s="26">
        <f>(B12*B14*B15)/60000</f>
        <v>0.66666666666666663</v>
      </c>
    </row>
    <row r="14" spans="1:34" ht="18" thickBot="1" x14ac:dyDescent="0.35">
      <c r="A14" s="23" t="s">
        <v>58</v>
      </c>
      <c r="B14" s="9">
        <v>8</v>
      </c>
    </row>
    <row r="15" spans="1:34" ht="18" thickBot="1" x14ac:dyDescent="0.35">
      <c r="A15" s="23" t="s">
        <v>61</v>
      </c>
      <c r="B15" s="29">
        <v>25</v>
      </c>
      <c r="C15" s="26">
        <f>(60000/B15)</f>
        <v>2400</v>
      </c>
    </row>
  </sheetData>
  <sheetProtection algorithmName="SHA-512" hashValue="Bh+yfDyDp9LhEGQKQFj9elY+teVuRTsXbAdmLSgJq8pNyjhpTGBsXPD1mbWGMbueWu+veVq9FehKBrKkkldNZg==" saltValue="pnRCh5VweY5gY8WJ/hRzXQ==" spinCount="100000" sheet="1" objects="1" scenarios="1"/>
  <mergeCells count="14">
    <mergeCell ref="W5:Y5"/>
    <mergeCell ref="AF4:AH5"/>
    <mergeCell ref="B3:D3"/>
    <mergeCell ref="H4:M4"/>
    <mergeCell ref="N4:S4"/>
    <mergeCell ref="T4:Y4"/>
    <mergeCell ref="H5:J5"/>
    <mergeCell ref="K5:M5"/>
    <mergeCell ref="N5:P5"/>
    <mergeCell ref="Q5:S5"/>
    <mergeCell ref="T5:V5"/>
    <mergeCell ref="Z4:AE4"/>
    <mergeCell ref="Z5:AB5"/>
    <mergeCell ref="AC5:AE5"/>
  </mergeCells>
  <conditionalFormatting sqref="B6">
    <cfRule type="cellIs" dxfId="734" priority="23" operator="greaterThan">
      <formula>$B$12</formula>
    </cfRule>
  </conditionalFormatting>
  <conditionalFormatting sqref="C6">
    <cfRule type="cellIs" dxfId="733" priority="22" operator="greaterThan">
      <formula>$B$12</formula>
    </cfRule>
  </conditionalFormatting>
  <conditionalFormatting sqref="D6">
    <cfRule type="cellIs" dxfId="732" priority="21" operator="greaterThan">
      <formula>$B$12</formula>
    </cfRule>
  </conditionalFormatting>
  <conditionalFormatting sqref="B7">
    <cfRule type="cellIs" dxfId="731" priority="20" operator="greaterThan">
      <formula>$B$12</formula>
    </cfRule>
  </conditionalFormatting>
  <conditionalFormatting sqref="C7">
    <cfRule type="cellIs" dxfId="730" priority="19" operator="greaterThan">
      <formula>$B$12</formula>
    </cfRule>
  </conditionalFormatting>
  <conditionalFormatting sqref="D7">
    <cfRule type="cellIs" dxfId="729" priority="18" operator="greaterThan">
      <formula>$B$12</formula>
    </cfRule>
  </conditionalFormatting>
  <conditionalFormatting sqref="B8">
    <cfRule type="cellIs" dxfId="728" priority="17" operator="greaterThan">
      <formula>$B$12</formula>
    </cfRule>
  </conditionalFormatting>
  <conditionalFormatting sqref="B9">
    <cfRule type="cellIs" dxfId="727" priority="16" operator="greaterThan">
      <formula>$B$12</formula>
    </cfRule>
  </conditionalFormatting>
  <conditionalFormatting sqref="B10">
    <cfRule type="cellIs" dxfId="726" priority="15" operator="greaterThan">
      <formula>$B$12</formula>
    </cfRule>
  </conditionalFormatting>
  <conditionalFormatting sqref="C8">
    <cfRule type="cellIs" dxfId="725" priority="14" operator="greaterThan">
      <formula>$B$12</formula>
    </cfRule>
  </conditionalFormatting>
  <conditionalFormatting sqref="D8">
    <cfRule type="cellIs" dxfId="724" priority="13" operator="greaterThan">
      <formula>$B$12</formula>
    </cfRule>
  </conditionalFormatting>
  <conditionalFormatting sqref="C9">
    <cfRule type="cellIs" dxfId="723" priority="12" operator="greaterThan">
      <formula>$B$12</formula>
    </cfRule>
  </conditionalFormatting>
  <conditionalFormatting sqref="D9">
    <cfRule type="cellIs" dxfId="722" priority="11" operator="greaterThan">
      <formula>$B$12</formula>
    </cfRule>
  </conditionalFormatting>
  <conditionalFormatting sqref="C10">
    <cfRule type="cellIs" dxfId="721" priority="10" operator="greaterThan">
      <formula>$B$12</formula>
    </cfRule>
  </conditionalFormatting>
  <conditionalFormatting sqref="D10">
    <cfRule type="cellIs" dxfId="720" priority="9" operator="greaterThan">
      <formula>$B$12</formula>
    </cfRule>
  </conditionalFormatting>
  <conditionalFormatting sqref="Z6">
    <cfRule type="cellIs" dxfId="719" priority="7" operator="equal">
      <formula>0</formula>
    </cfRule>
    <cfRule type="cellIs" dxfId="718" priority="8" operator="equal">
      <formula>0</formula>
    </cfRule>
  </conditionalFormatting>
  <conditionalFormatting sqref="AB6">
    <cfRule type="cellIs" dxfId="717" priority="5" operator="equal">
      <formula>0</formula>
    </cfRule>
    <cfRule type="cellIs" dxfId="716" priority="6" operator="equal">
      <formula>0</formula>
    </cfRule>
  </conditionalFormatting>
  <conditionalFormatting sqref="AB7:AB10">
    <cfRule type="cellIs" dxfId="715" priority="1" operator="equal">
      <formula>0</formula>
    </cfRule>
    <cfRule type="cellIs" dxfId="714" priority="2" operator="equal">
      <formula>0</formula>
    </cfRule>
  </conditionalFormatting>
  <conditionalFormatting sqref="Z7:Z10">
    <cfRule type="cellIs" dxfId="713" priority="3" operator="equal">
      <formula>0</formula>
    </cfRule>
    <cfRule type="cellIs" dxfId="712" priority="4" operator="equal">
      <formula>0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61</vt:i4>
      </vt:variant>
      <vt:variant>
        <vt:lpstr>Benannte Bereiche</vt:lpstr>
      </vt:variant>
      <vt:variant>
        <vt:i4>1501</vt:i4>
      </vt:variant>
    </vt:vector>
  </HeadingPairs>
  <TitlesOfParts>
    <vt:vector size="1562" baseType="lpstr">
      <vt:lpstr>Tabelle1</vt:lpstr>
      <vt:lpstr>Abdrift</vt:lpstr>
      <vt:lpstr>kf01 25</vt:lpstr>
      <vt:lpstr>kdf01 25</vt:lpstr>
      <vt:lpstr>kf01 Band</vt:lpstr>
      <vt:lpstr>kf015 25</vt:lpstr>
      <vt:lpstr>kdf015 25</vt:lpstr>
      <vt:lpstr>kf015 Band</vt:lpstr>
      <vt:lpstr>kf02 25</vt:lpstr>
      <vt:lpstr>kdf02 25</vt:lpstr>
      <vt:lpstr>kdf02 50</vt:lpstr>
      <vt:lpstr>lf02 50</vt:lpstr>
      <vt:lpstr>ldf02 50</vt:lpstr>
      <vt:lpstr>kf02 Band</vt:lpstr>
      <vt:lpstr>kf025</vt:lpstr>
      <vt:lpstr>kf025 25</vt:lpstr>
      <vt:lpstr>lf025</vt:lpstr>
      <vt:lpstr>kdf025</vt:lpstr>
      <vt:lpstr>ldf025</vt:lpstr>
      <vt:lpstr>Rand025</vt:lpstr>
      <vt:lpstr>Misch025</vt:lpstr>
      <vt:lpstr>kf03</vt:lpstr>
      <vt:lpstr>kf03 25</vt:lpstr>
      <vt:lpstr>lf03</vt:lpstr>
      <vt:lpstr>kdf03</vt:lpstr>
      <vt:lpstr>ldf03</vt:lpstr>
      <vt:lpstr>kf03 Band</vt:lpstr>
      <vt:lpstr>Rand03</vt:lpstr>
      <vt:lpstr>Misch03</vt:lpstr>
      <vt:lpstr>kf04</vt:lpstr>
      <vt:lpstr>kf04 25</vt:lpstr>
      <vt:lpstr>lf04</vt:lpstr>
      <vt:lpstr>kdf04</vt:lpstr>
      <vt:lpstr>ldf04</vt:lpstr>
      <vt:lpstr>kf04 Band</vt:lpstr>
      <vt:lpstr>f04</vt:lpstr>
      <vt:lpstr>df04</vt:lpstr>
      <vt:lpstr>Rand04</vt:lpstr>
      <vt:lpstr>Misch04</vt:lpstr>
      <vt:lpstr>kf05</vt:lpstr>
      <vt:lpstr>lf05</vt:lpstr>
      <vt:lpstr>kdf05</vt:lpstr>
      <vt:lpstr>ldf05</vt:lpstr>
      <vt:lpstr>VA05</vt:lpstr>
      <vt:lpstr>f05</vt:lpstr>
      <vt:lpstr>df05</vt:lpstr>
      <vt:lpstr>Rand05</vt:lpstr>
      <vt:lpstr>Misch05</vt:lpstr>
      <vt:lpstr>kf06</vt:lpstr>
      <vt:lpstr>lf06</vt:lpstr>
      <vt:lpstr>kdf06</vt:lpstr>
      <vt:lpstr>ldf06</vt:lpstr>
      <vt:lpstr>f06</vt:lpstr>
      <vt:lpstr>df06</vt:lpstr>
      <vt:lpstr>Rand06</vt:lpstr>
      <vt:lpstr>Misch06</vt:lpstr>
      <vt:lpstr>Dünger</vt:lpstr>
      <vt:lpstr>Zweistoff</vt:lpstr>
      <vt:lpstr>PWM Allgemein</vt:lpstr>
      <vt:lpstr>DynaJet</vt:lpstr>
      <vt:lpstr>Exact Apply</vt:lpstr>
      <vt:lpstr>_1435</vt:lpstr>
      <vt:lpstr>_1435b</vt:lpstr>
      <vt:lpstr>_1435c</vt:lpstr>
      <vt:lpstr>_1435f</vt:lpstr>
      <vt:lpstr>_1435g</vt:lpstr>
      <vt:lpstr>_1435h</vt:lpstr>
      <vt:lpstr>_1435i</vt:lpstr>
      <vt:lpstr>_1435j</vt:lpstr>
      <vt:lpstr>_1435k</vt:lpstr>
      <vt:lpstr>_1435l</vt:lpstr>
      <vt:lpstr>_1435m</vt:lpstr>
      <vt:lpstr>_1436</vt:lpstr>
      <vt:lpstr>_1436b</vt:lpstr>
      <vt:lpstr>_1436c</vt:lpstr>
      <vt:lpstr>_1436f</vt:lpstr>
      <vt:lpstr>_1436g</vt:lpstr>
      <vt:lpstr>_1436h</vt:lpstr>
      <vt:lpstr>_1436i</vt:lpstr>
      <vt:lpstr>_1436j</vt:lpstr>
      <vt:lpstr>_1436k</vt:lpstr>
      <vt:lpstr>_1436l</vt:lpstr>
      <vt:lpstr>_1436m</vt:lpstr>
      <vt:lpstr>_1437</vt:lpstr>
      <vt:lpstr>_1437b</vt:lpstr>
      <vt:lpstr>_1437c</vt:lpstr>
      <vt:lpstr>_1437f</vt:lpstr>
      <vt:lpstr>_1437g</vt:lpstr>
      <vt:lpstr>_1437h</vt:lpstr>
      <vt:lpstr>_1437i</vt:lpstr>
      <vt:lpstr>_1437j</vt:lpstr>
      <vt:lpstr>_1437k</vt:lpstr>
      <vt:lpstr>_1437l</vt:lpstr>
      <vt:lpstr>_1437m</vt:lpstr>
      <vt:lpstr>_1438</vt:lpstr>
      <vt:lpstr>_1438b</vt:lpstr>
      <vt:lpstr>_1438c</vt:lpstr>
      <vt:lpstr>_1438f</vt:lpstr>
      <vt:lpstr>_1438g</vt:lpstr>
      <vt:lpstr>_1438h</vt:lpstr>
      <vt:lpstr>_1438i</vt:lpstr>
      <vt:lpstr>_1438j</vt:lpstr>
      <vt:lpstr>_1438k</vt:lpstr>
      <vt:lpstr>_1438l</vt:lpstr>
      <vt:lpstr>_1438m</vt:lpstr>
      <vt:lpstr>_1613</vt:lpstr>
      <vt:lpstr>_1613b</vt:lpstr>
      <vt:lpstr>_1613c</vt:lpstr>
      <vt:lpstr>_1613f</vt:lpstr>
      <vt:lpstr>_1613g</vt:lpstr>
      <vt:lpstr>_1613h</vt:lpstr>
      <vt:lpstr>_1613i</vt:lpstr>
      <vt:lpstr>_1613j</vt:lpstr>
      <vt:lpstr>_1613k</vt:lpstr>
      <vt:lpstr>_1613l</vt:lpstr>
      <vt:lpstr>_1613m</vt:lpstr>
      <vt:lpstr>_1613n</vt:lpstr>
      <vt:lpstr>_1613o</vt:lpstr>
      <vt:lpstr>_1638</vt:lpstr>
      <vt:lpstr>_1638b</vt:lpstr>
      <vt:lpstr>_1638c</vt:lpstr>
      <vt:lpstr>_1638f</vt:lpstr>
      <vt:lpstr>_1638g</vt:lpstr>
      <vt:lpstr>_1638h</vt:lpstr>
      <vt:lpstr>_1638i</vt:lpstr>
      <vt:lpstr>_1638j</vt:lpstr>
      <vt:lpstr>_1638k</vt:lpstr>
      <vt:lpstr>_1638l</vt:lpstr>
      <vt:lpstr>_1638m</vt:lpstr>
      <vt:lpstr>_1638n</vt:lpstr>
      <vt:lpstr>_1638o</vt:lpstr>
      <vt:lpstr>_1718</vt:lpstr>
      <vt:lpstr>_1718b</vt:lpstr>
      <vt:lpstr>_1718c</vt:lpstr>
      <vt:lpstr>_1718f</vt:lpstr>
      <vt:lpstr>_1718g</vt:lpstr>
      <vt:lpstr>_1718h</vt:lpstr>
      <vt:lpstr>_1718i</vt:lpstr>
      <vt:lpstr>_1718j</vt:lpstr>
      <vt:lpstr>_1718k</vt:lpstr>
      <vt:lpstr>_1718l</vt:lpstr>
      <vt:lpstr>_1718m</vt:lpstr>
      <vt:lpstr>_1737</vt:lpstr>
      <vt:lpstr>_1737b</vt:lpstr>
      <vt:lpstr>_1737c</vt:lpstr>
      <vt:lpstr>_1737f</vt:lpstr>
      <vt:lpstr>_1737g</vt:lpstr>
      <vt:lpstr>_1737h</vt:lpstr>
      <vt:lpstr>_1737i</vt:lpstr>
      <vt:lpstr>_1737j</vt:lpstr>
      <vt:lpstr>_1737k</vt:lpstr>
      <vt:lpstr>_1737l</vt:lpstr>
      <vt:lpstr>_1737m</vt:lpstr>
      <vt:lpstr>_1738</vt:lpstr>
      <vt:lpstr>_1738b</vt:lpstr>
      <vt:lpstr>_1738c</vt:lpstr>
      <vt:lpstr>_1738f</vt:lpstr>
      <vt:lpstr>_1738g</vt:lpstr>
      <vt:lpstr>_1738h</vt:lpstr>
      <vt:lpstr>_1738i</vt:lpstr>
      <vt:lpstr>_1738j</vt:lpstr>
      <vt:lpstr>_1738k</vt:lpstr>
      <vt:lpstr>_1738l</vt:lpstr>
      <vt:lpstr>_1738m</vt:lpstr>
      <vt:lpstr>_1739</vt:lpstr>
      <vt:lpstr>_1739b</vt:lpstr>
      <vt:lpstr>_1739c</vt:lpstr>
      <vt:lpstr>_1739f</vt:lpstr>
      <vt:lpstr>_1739g</vt:lpstr>
      <vt:lpstr>_1739h</vt:lpstr>
      <vt:lpstr>_1739i</vt:lpstr>
      <vt:lpstr>_1739j</vt:lpstr>
      <vt:lpstr>_1739k</vt:lpstr>
      <vt:lpstr>_1739l</vt:lpstr>
      <vt:lpstr>_1739m</vt:lpstr>
      <vt:lpstr>_1740</vt:lpstr>
      <vt:lpstr>_1740b</vt:lpstr>
      <vt:lpstr>_1740c</vt:lpstr>
      <vt:lpstr>_1740f</vt:lpstr>
      <vt:lpstr>_1740g</vt:lpstr>
      <vt:lpstr>_1740h</vt:lpstr>
      <vt:lpstr>_1740i</vt:lpstr>
      <vt:lpstr>_1740j</vt:lpstr>
      <vt:lpstr>_1740k</vt:lpstr>
      <vt:lpstr>_1740l</vt:lpstr>
      <vt:lpstr>_1740m</vt:lpstr>
      <vt:lpstr>_1753</vt:lpstr>
      <vt:lpstr>_1753b</vt:lpstr>
      <vt:lpstr>_1753c</vt:lpstr>
      <vt:lpstr>_1753f</vt:lpstr>
      <vt:lpstr>_1753g</vt:lpstr>
      <vt:lpstr>_1753h</vt:lpstr>
      <vt:lpstr>_1753i</vt:lpstr>
      <vt:lpstr>_1753j</vt:lpstr>
      <vt:lpstr>_1753k</vt:lpstr>
      <vt:lpstr>_1753l</vt:lpstr>
      <vt:lpstr>_1753m</vt:lpstr>
      <vt:lpstr>_1753t</vt:lpstr>
      <vt:lpstr>_1754</vt:lpstr>
      <vt:lpstr>_1754b</vt:lpstr>
      <vt:lpstr>_1754c</vt:lpstr>
      <vt:lpstr>_1754f</vt:lpstr>
      <vt:lpstr>_1754g</vt:lpstr>
      <vt:lpstr>_1754h</vt:lpstr>
      <vt:lpstr>_1754i</vt:lpstr>
      <vt:lpstr>_1754j</vt:lpstr>
      <vt:lpstr>_1754k</vt:lpstr>
      <vt:lpstr>_1754l</vt:lpstr>
      <vt:lpstr>_1754m</vt:lpstr>
      <vt:lpstr>_1754t</vt:lpstr>
      <vt:lpstr>_1755</vt:lpstr>
      <vt:lpstr>_1755b</vt:lpstr>
      <vt:lpstr>_1755c</vt:lpstr>
      <vt:lpstr>_1755f</vt:lpstr>
      <vt:lpstr>_1755g</vt:lpstr>
      <vt:lpstr>_1755h</vt:lpstr>
      <vt:lpstr>_1755i</vt:lpstr>
      <vt:lpstr>_1755j</vt:lpstr>
      <vt:lpstr>_1755k</vt:lpstr>
      <vt:lpstr>_1755l</vt:lpstr>
      <vt:lpstr>_1755m</vt:lpstr>
      <vt:lpstr>_1755t</vt:lpstr>
      <vt:lpstr>_1758</vt:lpstr>
      <vt:lpstr>_1758b</vt:lpstr>
      <vt:lpstr>_1758c</vt:lpstr>
      <vt:lpstr>_1758f</vt:lpstr>
      <vt:lpstr>_1758g</vt:lpstr>
      <vt:lpstr>_1758h</vt:lpstr>
      <vt:lpstr>_1758i</vt:lpstr>
      <vt:lpstr>_1758j</vt:lpstr>
      <vt:lpstr>_1758k</vt:lpstr>
      <vt:lpstr>_1758l</vt:lpstr>
      <vt:lpstr>_1758m</vt:lpstr>
      <vt:lpstr>_1758t</vt:lpstr>
      <vt:lpstr>_1779</vt:lpstr>
      <vt:lpstr>_1779b</vt:lpstr>
      <vt:lpstr>_1779c</vt:lpstr>
      <vt:lpstr>_1779f</vt:lpstr>
      <vt:lpstr>_1779g</vt:lpstr>
      <vt:lpstr>_1779h</vt:lpstr>
      <vt:lpstr>_1779i</vt:lpstr>
      <vt:lpstr>_1779j</vt:lpstr>
      <vt:lpstr>_1779k</vt:lpstr>
      <vt:lpstr>_1779l</vt:lpstr>
      <vt:lpstr>_1779m</vt:lpstr>
      <vt:lpstr>_1780</vt:lpstr>
      <vt:lpstr>_1780b</vt:lpstr>
      <vt:lpstr>_1780c</vt:lpstr>
      <vt:lpstr>_1780f</vt:lpstr>
      <vt:lpstr>_1780g</vt:lpstr>
      <vt:lpstr>_1780h</vt:lpstr>
      <vt:lpstr>_1780i</vt:lpstr>
      <vt:lpstr>_1780j</vt:lpstr>
      <vt:lpstr>_1780k</vt:lpstr>
      <vt:lpstr>_1780l</vt:lpstr>
      <vt:lpstr>_1780m</vt:lpstr>
      <vt:lpstr>_1783</vt:lpstr>
      <vt:lpstr>_1783b</vt:lpstr>
      <vt:lpstr>_1783c</vt:lpstr>
      <vt:lpstr>_1783f</vt:lpstr>
      <vt:lpstr>_1783g</vt:lpstr>
      <vt:lpstr>_1783h</vt:lpstr>
      <vt:lpstr>_1783i</vt:lpstr>
      <vt:lpstr>_1783j</vt:lpstr>
      <vt:lpstr>_1783k</vt:lpstr>
      <vt:lpstr>_1783l</vt:lpstr>
      <vt:lpstr>_1783m</vt:lpstr>
      <vt:lpstr>_1784</vt:lpstr>
      <vt:lpstr>_1784b</vt:lpstr>
      <vt:lpstr>_1784c</vt:lpstr>
      <vt:lpstr>_1784f</vt:lpstr>
      <vt:lpstr>_1784g</vt:lpstr>
      <vt:lpstr>_1784h</vt:lpstr>
      <vt:lpstr>_1784i</vt:lpstr>
      <vt:lpstr>_1784j</vt:lpstr>
      <vt:lpstr>_1784k</vt:lpstr>
      <vt:lpstr>_1784l</vt:lpstr>
      <vt:lpstr>_1784m</vt:lpstr>
      <vt:lpstr>_1787</vt:lpstr>
      <vt:lpstr>_1787b</vt:lpstr>
      <vt:lpstr>_1787c</vt:lpstr>
      <vt:lpstr>_1787f</vt:lpstr>
      <vt:lpstr>_1787g</vt:lpstr>
      <vt:lpstr>_1787h</vt:lpstr>
      <vt:lpstr>_1787i</vt:lpstr>
      <vt:lpstr>_1787j</vt:lpstr>
      <vt:lpstr>_1787k</vt:lpstr>
      <vt:lpstr>_1787l</vt:lpstr>
      <vt:lpstr>_1787m</vt:lpstr>
      <vt:lpstr>_1787t</vt:lpstr>
      <vt:lpstr>_1788</vt:lpstr>
      <vt:lpstr>_1788b</vt:lpstr>
      <vt:lpstr>_1788c</vt:lpstr>
      <vt:lpstr>_1788f</vt:lpstr>
      <vt:lpstr>_1788g</vt:lpstr>
      <vt:lpstr>_1788h</vt:lpstr>
      <vt:lpstr>_1788i</vt:lpstr>
      <vt:lpstr>_1788j</vt:lpstr>
      <vt:lpstr>_1788k</vt:lpstr>
      <vt:lpstr>_1788l</vt:lpstr>
      <vt:lpstr>_1788m</vt:lpstr>
      <vt:lpstr>_1788t</vt:lpstr>
      <vt:lpstr>_1789</vt:lpstr>
      <vt:lpstr>_1789b</vt:lpstr>
      <vt:lpstr>_1789c</vt:lpstr>
      <vt:lpstr>_1789f</vt:lpstr>
      <vt:lpstr>_1789g</vt:lpstr>
      <vt:lpstr>_1789h</vt:lpstr>
      <vt:lpstr>_1789i</vt:lpstr>
      <vt:lpstr>_1789j</vt:lpstr>
      <vt:lpstr>_1789k</vt:lpstr>
      <vt:lpstr>_1789l</vt:lpstr>
      <vt:lpstr>_1789m</vt:lpstr>
      <vt:lpstr>_1789t</vt:lpstr>
      <vt:lpstr>_1795</vt:lpstr>
      <vt:lpstr>_1795b</vt:lpstr>
      <vt:lpstr>_1795c</vt:lpstr>
      <vt:lpstr>_1795f</vt:lpstr>
      <vt:lpstr>_1795g</vt:lpstr>
      <vt:lpstr>_1795h</vt:lpstr>
      <vt:lpstr>_1795i</vt:lpstr>
      <vt:lpstr>_1795j</vt:lpstr>
      <vt:lpstr>_1795k</vt:lpstr>
      <vt:lpstr>_1795l</vt:lpstr>
      <vt:lpstr>_1795m</vt:lpstr>
      <vt:lpstr>_1799</vt:lpstr>
      <vt:lpstr>_1799b</vt:lpstr>
      <vt:lpstr>_1799c</vt:lpstr>
      <vt:lpstr>_1799f</vt:lpstr>
      <vt:lpstr>_1799g</vt:lpstr>
      <vt:lpstr>_1799h</vt:lpstr>
      <vt:lpstr>_1799i</vt:lpstr>
      <vt:lpstr>_1799j</vt:lpstr>
      <vt:lpstr>_1799k</vt:lpstr>
      <vt:lpstr>_1799l</vt:lpstr>
      <vt:lpstr>_1799m</vt:lpstr>
      <vt:lpstr>_1801</vt:lpstr>
      <vt:lpstr>_1801b</vt:lpstr>
      <vt:lpstr>_1801c</vt:lpstr>
      <vt:lpstr>_1801f</vt:lpstr>
      <vt:lpstr>_1801g</vt:lpstr>
      <vt:lpstr>_1801h</vt:lpstr>
      <vt:lpstr>_1801i</vt:lpstr>
      <vt:lpstr>_1801j</vt:lpstr>
      <vt:lpstr>_1801k</vt:lpstr>
      <vt:lpstr>_1801l</vt:lpstr>
      <vt:lpstr>_1801m</vt:lpstr>
      <vt:lpstr>_1821</vt:lpstr>
      <vt:lpstr>_1821b</vt:lpstr>
      <vt:lpstr>_1821c</vt:lpstr>
      <vt:lpstr>_1821f</vt:lpstr>
      <vt:lpstr>_1821g</vt:lpstr>
      <vt:lpstr>_1821h</vt:lpstr>
      <vt:lpstr>_1821i</vt:lpstr>
      <vt:lpstr>_1821j</vt:lpstr>
      <vt:lpstr>_1821k</vt:lpstr>
      <vt:lpstr>_1821l</vt:lpstr>
      <vt:lpstr>_1821m</vt:lpstr>
      <vt:lpstr>_1836</vt:lpstr>
      <vt:lpstr>_1836b</vt:lpstr>
      <vt:lpstr>_1836c</vt:lpstr>
      <vt:lpstr>_1836f</vt:lpstr>
      <vt:lpstr>_1836g</vt:lpstr>
      <vt:lpstr>_1836h</vt:lpstr>
      <vt:lpstr>_1836i</vt:lpstr>
      <vt:lpstr>_1836j</vt:lpstr>
      <vt:lpstr>_1836k</vt:lpstr>
      <vt:lpstr>_1836l</vt:lpstr>
      <vt:lpstr>_1836m</vt:lpstr>
      <vt:lpstr>_1837</vt:lpstr>
      <vt:lpstr>_1837b</vt:lpstr>
      <vt:lpstr>_1837c</vt:lpstr>
      <vt:lpstr>_1837f</vt:lpstr>
      <vt:lpstr>_1837g</vt:lpstr>
      <vt:lpstr>_1837h</vt:lpstr>
      <vt:lpstr>_1837i</vt:lpstr>
      <vt:lpstr>_1837j</vt:lpstr>
      <vt:lpstr>_1837k</vt:lpstr>
      <vt:lpstr>_1837l</vt:lpstr>
      <vt:lpstr>_1837m</vt:lpstr>
      <vt:lpstr>_1848</vt:lpstr>
      <vt:lpstr>_1848b</vt:lpstr>
      <vt:lpstr>_1848c</vt:lpstr>
      <vt:lpstr>_1848f</vt:lpstr>
      <vt:lpstr>_1848g</vt:lpstr>
      <vt:lpstr>_1848h</vt:lpstr>
      <vt:lpstr>_1848i</vt:lpstr>
      <vt:lpstr>_1848j</vt:lpstr>
      <vt:lpstr>_1848k</vt:lpstr>
      <vt:lpstr>_1848l</vt:lpstr>
      <vt:lpstr>_1848m</vt:lpstr>
      <vt:lpstr>_1883</vt:lpstr>
      <vt:lpstr>_1883b</vt:lpstr>
      <vt:lpstr>_1883c</vt:lpstr>
      <vt:lpstr>_1883f</vt:lpstr>
      <vt:lpstr>_1883g</vt:lpstr>
      <vt:lpstr>_1883h</vt:lpstr>
      <vt:lpstr>_1883i</vt:lpstr>
      <vt:lpstr>_1883j</vt:lpstr>
      <vt:lpstr>_1883k</vt:lpstr>
      <vt:lpstr>_1883l</vt:lpstr>
      <vt:lpstr>_1883m</vt:lpstr>
      <vt:lpstr>_1884</vt:lpstr>
      <vt:lpstr>_1884b</vt:lpstr>
      <vt:lpstr>_1884c</vt:lpstr>
      <vt:lpstr>_1884f</vt:lpstr>
      <vt:lpstr>_1884g</vt:lpstr>
      <vt:lpstr>_1884h</vt:lpstr>
      <vt:lpstr>_1884i</vt:lpstr>
      <vt:lpstr>_1884j</vt:lpstr>
      <vt:lpstr>_1884k</vt:lpstr>
      <vt:lpstr>_1884l</vt:lpstr>
      <vt:lpstr>_1884m</vt:lpstr>
      <vt:lpstr>_1891</vt:lpstr>
      <vt:lpstr>_1891b</vt:lpstr>
      <vt:lpstr>_1891c</vt:lpstr>
      <vt:lpstr>_1891f</vt:lpstr>
      <vt:lpstr>_1891g</vt:lpstr>
      <vt:lpstr>_1891h</vt:lpstr>
      <vt:lpstr>_1891i</vt:lpstr>
      <vt:lpstr>_1891j</vt:lpstr>
      <vt:lpstr>_1891k</vt:lpstr>
      <vt:lpstr>_1891l</vt:lpstr>
      <vt:lpstr>_1891m</vt:lpstr>
      <vt:lpstr>_1891t</vt:lpstr>
      <vt:lpstr>_1892</vt:lpstr>
      <vt:lpstr>_1892b</vt:lpstr>
      <vt:lpstr>_1892c</vt:lpstr>
      <vt:lpstr>_1892f</vt:lpstr>
      <vt:lpstr>_1892g</vt:lpstr>
      <vt:lpstr>_1892h</vt:lpstr>
      <vt:lpstr>_1892i</vt:lpstr>
      <vt:lpstr>_1892j</vt:lpstr>
      <vt:lpstr>_1892k</vt:lpstr>
      <vt:lpstr>_1892l</vt:lpstr>
      <vt:lpstr>_1892m</vt:lpstr>
      <vt:lpstr>_1892t</vt:lpstr>
      <vt:lpstr>_1893</vt:lpstr>
      <vt:lpstr>_1893b</vt:lpstr>
      <vt:lpstr>_1893c</vt:lpstr>
      <vt:lpstr>_1893f</vt:lpstr>
      <vt:lpstr>_1893g</vt:lpstr>
      <vt:lpstr>_1893h</vt:lpstr>
      <vt:lpstr>_1893i</vt:lpstr>
      <vt:lpstr>_1893j</vt:lpstr>
      <vt:lpstr>_1893k</vt:lpstr>
      <vt:lpstr>_1893l</vt:lpstr>
      <vt:lpstr>_1893m</vt:lpstr>
      <vt:lpstr>_1893t</vt:lpstr>
      <vt:lpstr>_1896</vt:lpstr>
      <vt:lpstr>_1896b</vt:lpstr>
      <vt:lpstr>_1896c</vt:lpstr>
      <vt:lpstr>_1896f</vt:lpstr>
      <vt:lpstr>_1896g</vt:lpstr>
      <vt:lpstr>_1896h</vt:lpstr>
      <vt:lpstr>_1896i</vt:lpstr>
      <vt:lpstr>_1896j</vt:lpstr>
      <vt:lpstr>_1896k</vt:lpstr>
      <vt:lpstr>_1896l</vt:lpstr>
      <vt:lpstr>_1896m</vt:lpstr>
      <vt:lpstr>_1903</vt:lpstr>
      <vt:lpstr>_1903b</vt:lpstr>
      <vt:lpstr>_1903c</vt:lpstr>
      <vt:lpstr>_1903f</vt:lpstr>
      <vt:lpstr>_1903g</vt:lpstr>
      <vt:lpstr>_1903h</vt:lpstr>
      <vt:lpstr>_1903i</vt:lpstr>
      <vt:lpstr>_1903j</vt:lpstr>
      <vt:lpstr>_1903k</vt:lpstr>
      <vt:lpstr>_1903l</vt:lpstr>
      <vt:lpstr>_1903m</vt:lpstr>
      <vt:lpstr>_1905</vt:lpstr>
      <vt:lpstr>_1905b</vt:lpstr>
      <vt:lpstr>_1905c</vt:lpstr>
      <vt:lpstr>_1905f</vt:lpstr>
      <vt:lpstr>_1905g</vt:lpstr>
      <vt:lpstr>_1905h</vt:lpstr>
      <vt:lpstr>_1905i</vt:lpstr>
      <vt:lpstr>_1905j</vt:lpstr>
      <vt:lpstr>_1905k</vt:lpstr>
      <vt:lpstr>_1905l</vt:lpstr>
      <vt:lpstr>_1905m</vt:lpstr>
      <vt:lpstr>_1907</vt:lpstr>
      <vt:lpstr>_1907b</vt:lpstr>
      <vt:lpstr>_1907c</vt:lpstr>
      <vt:lpstr>_1907f</vt:lpstr>
      <vt:lpstr>_1907g</vt:lpstr>
      <vt:lpstr>_1907h</vt:lpstr>
      <vt:lpstr>_1907i</vt:lpstr>
      <vt:lpstr>_1907j</vt:lpstr>
      <vt:lpstr>_1907k</vt:lpstr>
      <vt:lpstr>_1907l</vt:lpstr>
      <vt:lpstr>_1907m</vt:lpstr>
      <vt:lpstr>_1908</vt:lpstr>
      <vt:lpstr>_1908b</vt:lpstr>
      <vt:lpstr>_1908c</vt:lpstr>
      <vt:lpstr>_1908f</vt:lpstr>
      <vt:lpstr>_1908g</vt:lpstr>
      <vt:lpstr>_1908h</vt:lpstr>
      <vt:lpstr>_1908i</vt:lpstr>
      <vt:lpstr>_1908J</vt:lpstr>
      <vt:lpstr>_1908k</vt:lpstr>
      <vt:lpstr>_1908l</vt:lpstr>
      <vt:lpstr>_1908m</vt:lpstr>
      <vt:lpstr>_1909</vt:lpstr>
      <vt:lpstr>_1909b</vt:lpstr>
      <vt:lpstr>_1909c</vt:lpstr>
      <vt:lpstr>_1909f</vt:lpstr>
      <vt:lpstr>_1909g</vt:lpstr>
      <vt:lpstr>_1909h</vt:lpstr>
      <vt:lpstr>_1909i</vt:lpstr>
      <vt:lpstr>_1909j</vt:lpstr>
      <vt:lpstr>_1909k</vt:lpstr>
      <vt:lpstr>_1909l</vt:lpstr>
      <vt:lpstr>_1909m</vt:lpstr>
      <vt:lpstr>_1911</vt:lpstr>
      <vt:lpstr>_1911b</vt:lpstr>
      <vt:lpstr>_1911c</vt:lpstr>
      <vt:lpstr>_1911f</vt:lpstr>
      <vt:lpstr>_1911g</vt:lpstr>
      <vt:lpstr>_1911h</vt:lpstr>
      <vt:lpstr>_1911i</vt:lpstr>
      <vt:lpstr>_1911j</vt:lpstr>
      <vt:lpstr>_1911k</vt:lpstr>
      <vt:lpstr>_1911l</vt:lpstr>
      <vt:lpstr>_1911m</vt:lpstr>
      <vt:lpstr>_1912</vt:lpstr>
      <vt:lpstr>_1912b</vt:lpstr>
      <vt:lpstr>_1912c</vt:lpstr>
      <vt:lpstr>_1912f</vt:lpstr>
      <vt:lpstr>_1912g</vt:lpstr>
      <vt:lpstr>_1912h</vt:lpstr>
      <vt:lpstr>_1912i</vt:lpstr>
      <vt:lpstr>_1912j</vt:lpstr>
      <vt:lpstr>_1912k</vt:lpstr>
      <vt:lpstr>_1912l</vt:lpstr>
      <vt:lpstr>_1912m</vt:lpstr>
      <vt:lpstr>_1932</vt:lpstr>
      <vt:lpstr>_1932b</vt:lpstr>
      <vt:lpstr>_1932c</vt:lpstr>
      <vt:lpstr>_1932f</vt:lpstr>
      <vt:lpstr>_1932g</vt:lpstr>
      <vt:lpstr>_1932h</vt:lpstr>
      <vt:lpstr>_1932i</vt:lpstr>
      <vt:lpstr>_1932j</vt:lpstr>
      <vt:lpstr>_1932k</vt:lpstr>
      <vt:lpstr>_1932l</vt:lpstr>
      <vt:lpstr>_1932m</vt:lpstr>
      <vt:lpstr>_1932n</vt:lpstr>
      <vt:lpstr>_1932o</vt:lpstr>
      <vt:lpstr>_1932t</vt:lpstr>
      <vt:lpstr>_1933</vt:lpstr>
      <vt:lpstr>_1933b</vt:lpstr>
      <vt:lpstr>_1933c</vt:lpstr>
      <vt:lpstr>_1933f</vt:lpstr>
      <vt:lpstr>_1933g</vt:lpstr>
      <vt:lpstr>_1933h</vt:lpstr>
      <vt:lpstr>_1933i</vt:lpstr>
      <vt:lpstr>_1933j</vt:lpstr>
      <vt:lpstr>_1933k</vt:lpstr>
      <vt:lpstr>_1933l</vt:lpstr>
      <vt:lpstr>_1933m</vt:lpstr>
      <vt:lpstr>_1933t</vt:lpstr>
      <vt:lpstr>_1934</vt:lpstr>
      <vt:lpstr>_1934b</vt:lpstr>
      <vt:lpstr>_1934c</vt:lpstr>
      <vt:lpstr>_1934f</vt:lpstr>
      <vt:lpstr>_1934g</vt:lpstr>
      <vt:lpstr>_1934h</vt:lpstr>
      <vt:lpstr>_1934i</vt:lpstr>
      <vt:lpstr>_1934j</vt:lpstr>
      <vt:lpstr>_1934k</vt:lpstr>
      <vt:lpstr>_1934l</vt:lpstr>
      <vt:lpstr>_1934m</vt:lpstr>
      <vt:lpstr>_1934n</vt:lpstr>
      <vt:lpstr>_1934o</vt:lpstr>
      <vt:lpstr>_1934t</vt:lpstr>
      <vt:lpstr>_1935</vt:lpstr>
      <vt:lpstr>_1935b</vt:lpstr>
      <vt:lpstr>_1935c</vt:lpstr>
      <vt:lpstr>_1935f</vt:lpstr>
      <vt:lpstr>_1935g</vt:lpstr>
      <vt:lpstr>_1935h</vt:lpstr>
      <vt:lpstr>_1935i</vt:lpstr>
      <vt:lpstr>_1935j</vt:lpstr>
      <vt:lpstr>_1935k</vt:lpstr>
      <vt:lpstr>_1935l</vt:lpstr>
      <vt:lpstr>_1935m</vt:lpstr>
      <vt:lpstr>_1936</vt:lpstr>
      <vt:lpstr>_1936b</vt:lpstr>
      <vt:lpstr>_1936c</vt:lpstr>
      <vt:lpstr>_1936f</vt:lpstr>
      <vt:lpstr>_1936g</vt:lpstr>
      <vt:lpstr>_1936h</vt:lpstr>
      <vt:lpstr>_1936i</vt:lpstr>
      <vt:lpstr>_1936j</vt:lpstr>
      <vt:lpstr>_1936k</vt:lpstr>
      <vt:lpstr>_1936l</vt:lpstr>
      <vt:lpstr>_1936m</vt:lpstr>
      <vt:lpstr>_1937</vt:lpstr>
      <vt:lpstr>_1937b</vt:lpstr>
      <vt:lpstr>_1937c</vt:lpstr>
      <vt:lpstr>_1937f</vt:lpstr>
      <vt:lpstr>_1937g</vt:lpstr>
      <vt:lpstr>_1937h</vt:lpstr>
      <vt:lpstr>_1937i</vt:lpstr>
      <vt:lpstr>_1937j</vt:lpstr>
      <vt:lpstr>_1937k</vt:lpstr>
      <vt:lpstr>_1937l</vt:lpstr>
      <vt:lpstr>_1937m</vt:lpstr>
      <vt:lpstr>_1937n</vt:lpstr>
      <vt:lpstr>_1937o</vt:lpstr>
      <vt:lpstr>_1937t</vt:lpstr>
      <vt:lpstr>_1945</vt:lpstr>
      <vt:lpstr>_1945b</vt:lpstr>
      <vt:lpstr>_1945c</vt:lpstr>
      <vt:lpstr>_1945f</vt:lpstr>
      <vt:lpstr>_1945g</vt:lpstr>
      <vt:lpstr>_1945h</vt:lpstr>
      <vt:lpstr>_1945i</vt:lpstr>
      <vt:lpstr>_1945j</vt:lpstr>
      <vt:lpstr>_1945k</vt:lpstr>
      <vt:lpstr>_1945l</vt:lpstr>
      <vt:lpstr>_1945m</vt:lpstr>
      <vt:lpstr>_1945n</vt:lpstr>
      <vt:lpstr>_1945o</vt:lpstr>
      <vt:lpstr>_1947</vt:lpstr>
      <vt:lpstr>_1947b</vt:lpstr>
      <vt:lpstr>_1947c</vt:lpstr>
      <vt:lpstr>_1947f</vt:lpstr>
      <vt:lpstr>_1947g</vt:lpstr>
      <vt:lpstr>_1947h</vt:lpstr>
      <vt:lpstr>_1947i</vt:lpstr>
      <vt:lpstr>_1947j</vt:lpstr>
      <vt:lpstr>_1947k</vt:lpstr>
      <vt:lpstr>_1947l</vt:lpstr>
      <vt:lpstr>_1947m</vt:lpstr>
      <vt:lpstr>_1963</vt:lpstr>
      <vt:lpstr>_1963b</vt:lpstr>
      <vt:lpstr>_1963c</vt:lpstr>
      <vt:lpstr>_1963f</vt:lpstr>
      <vt:lpstr>_1963g</vt:lpstr>
      <vt:lpstr>_1963h</vt:lpstr>
      <vt:lpstr>_1963i</vt:lpstr>
      <vt:lpstr>_1963j</vt:lpstr>
      <vt:lpstr>_1963k</vt:lpstr>
      <vt:lpstr>_1963l</vt:lpstr>
      <vt:lpstr>_1963m</vt:lpstr>
      <vt:lpstr>_1964</vt:lpstr>
      <vt:lpstr>_1964b</vt:lpstr>
      <vt:lpstr>_1964c</vt:lpstr>
      <vt:lpstr>_1964f</vt:lpstr>
      <vt:lpstr>_1964g</vt:lpstr>
      <vt:lpstr>_1964h</vt:lpstr>
      <vt:lpstr>_1964i</vt:lpstr>
      <vt:lpstr>_1964j</vt:lpstr>
      <vt:lpstr>_1964k</vt:lpstr>
      <vt:lpstr>_1964l</vt:lpstr>
      <vt:lpstr>_1964m</vt:lpstr>
      <vt:lpstr>_1965</vt:lpstr>
      <vt:lpstr>_1965b</vt:lpstr>
      <vt:lpstr>_1965c</vt:lpstr>
      <vt:lpstr>_1965f</vt:lpstr>
      <vt:lpstr>_1965g</vt:lpstr>
      <vt:lpstr>_1965h</vt:lpstr>
      <vt:lpstr>_1965i</vt:lpstr>
      <vt:lpstr>_1965j</vt:lpstr>
      <vt:lpstr>_1965k</vt:lpstr>
      <vt:lpstr>_1965l</vt:lpstr>
      <vt:lpstr>_1965m</vt:lpstr>
      <vt:lpstr>_1966</vt:lpstr>
      <vt:lpstr>_1966b</vt:lpstr>
      <vt:lpstr>_1966c</vt:lpstr>
      <vt:lpstr>_1966f</vt:lpstr>
      <vt:lpstr>_1966g</vt:lpstr>
      <vt:lpstr>_1966h</vt:lpstr>
      <vt:lpstr>_1966i</vt:lpstr>
      <vt:lpstr>_1966j</vt:lpstr>
      <vt:lpstr>_1966k</vt:lpstr>
      <vt:lpstr>_1966l</vt:lpstr>
      <vt:lpstr>_1966m</vt:lpstr>
      <vt:lpstr>_1968</vt:lpstr>
      <vt:lpstr>_1968b</vt:lpstr>
      <vt:lpstr>_1968c</vt:lpstr>
      <vt:lpstr>_1968f</vt:lpstr>
      <vt:lpstr>_1968g</vt:lpstr>
      <vt:lpstr>_1968h</vt:lpstr>
      <vt:lpstr>_1968i</vt:lpstr>
      <vt:lpstr>_1968j</vt:lpstr>
      <vt:lpstr>_1968k</vt:lpstr>
      <vt:lpstr>_1968l</vt:lpstr>
      <vt:lpstr>_1968m</vt:lpstr>
      <vt:lpstr>_1972</vt:lpstr>
      <vt:lpstr>_1972b</vt:lpstr>
      <vt:lpstr>_1972c</vt:lpstr>
      <vt:lpstr>_1972f</vt:lpstr>
      <vt:lpstr>_1972g</vt:lpstr>
      <vt:lpstr>_1972h</vt:lpstr>
      <vt:lpstr>_1972i</vt:lpstr>
      <vt:lpstr>_1972j</vt:lpstr>
      <vt:lpstr>_1972k</vt:lpstr>
      <vt:lpstr>_1972l</vt:lpstr>
      <vt:lpstr>_1972m</vt:lpstr>
      <vt:lpstr>_1981</vt:lpstr>
      <vt:lpstr>_1981b</vt:lpstr>
      <vt:lpstr>_1981c</vt:lpstr>
      <vt:lpstr>_1981f</vt:lpstr>
      <vt:lpstr>_1981g</vt:lpstr>
      <vt:lpstr>_1981h</vt:lpstr>
      <vt:lpstr>_1981i</vt:lpstr>
      <vt:lpstr>_1981j</vt:lpstr>
      <vt:lpstr>_1981k</vt:lpstr>
      <vt:lpstr>_1981l</vt:lpstr>
      <vt:lpstr>_1981m</vt:lpstr>
      <vt:lpstr>_1981n</vt:lpstr>
      <vt:lpstr>_1981o</vt:lpstr>
      <vt:lpstr>_1996</vt:lpstr>
      <vt:lpstr>_1996b</vt:lpstr>
      <vt:lpstr>_1996c</vt:lpstr>
      <vt:lpstr>_1996f</vt:lpstr>
      <vt:lpstr>_1996g</vt:lpstr>
      <vt:lpstr>_1996h</vt:lpstr>
      <vt:lpstr>_1996i</vt:lpstr>
      <vt:lpstr>_1996j</vt:lpstr>
      <vt:lpstr>_1996k</vt:lpstr>
      <vt:lpstr>_1996l</vt:lpstr>
      <vt:lpstr>_1996m</vt:lpstr>
      <vt:lpstr>_1996n</vt:lpstr>
      <vt:lpstr>_1996o</vt:lpstr>
      <vt:lpstr>_1996t</vt:lpstr>
      <vt:lpstr>_1998</vt:lpstr>
      <vt:lpstr>_1998b</vt:lpstr>
      <vt:lpstr>_1998c</vt:lpstr>
      <vt:lpstr>_1998f</vt:lpstr>
      <vt:lpstr>_1998g</vt:lpstr>
      <vt:lpstr>_1998h</vt:lpstr>
      <vt:lpstr>_1998i</vt:lpstr>
      <vt:lpstr>_1998j</vt:lpstr>
      <vt:lpstr>_1998k</vt:lpstr>
      <vt:lpstr>_1998l</vt:lpstr>
      <vt:lpstr>_1998m</vt:lpstr>
      <vt:lpstr>_1998t</vt:lpstr>
      <vt:lpstr>_2000</vt:lpstr>
      <vt:lpstr>_2000b</vt:lpstr>
      <vt:lpstr>_2000c</vt:lpstr>
      <vt:lpstr>_2000f</vt:lpstr>
      <vt:lpstr>_2000g</vt:lpstr>
      <vt:lpstr>_2000h</vt:lpstr>
      <vt:lpstr>_2000i</vt:lpstr>
      <vt:lpstr>_2000j</vt:lpstr>
      <vt:lpstr>_2000k</vt:lpstr>
      <vt:lpstr>_2000l</vt:lpstr>
      <vt:lpstr>_2000m</vt:lpstr>
      <vt:lpstr>_2000t</vt:lpstr>
      <vt:lpstr>_2015</vt:lpstr>
      <vt:lpstr>_2015b</vt:lpstr>
      <vt:lpstr>_2015c</vt:lpstr>
      <vt:lpstr>_2015f</vt:lpstr>
      <vt:lpstr>_2015g</vt:lpstr>
      <vt:lpstr>_2015h</vt:lpstr>
      <vt:lpstr>_2015i</vt:lpstr>
      <vt:lpstr>_2015j</vt:lpstr>
      <vt:lpstr>_2015k</vt:lpstr>
      <vt:lpstr>_2015l</vt:lpstr>
      <vt:lpstr>_2015m</vt:lpstr>
      <vt:lpstr>_2016</vt:lpstr>
      <vt:lpstr>_2016b</vt:lpstr>
      <vt:lpstr>_2016c</vt:lpstr>
      <vt:lpstr>_2016f</vt:lpstr>
      <vt:lpstr>_2016g</vt:lpstr>
      <vt:lpstr>_2016h</vt:lpstr>
      <vt:lpstr>_2016i</vt:lpstr>
      <vt:lpstr>_2016j</vt:lpstr>
      <vt:lpstr>_2016k</vt:lpstr>
      <vt:lpstr>_2016l</vt:lpstr>
      <vt:lpstr>_2016m</vt:lpstr>
      <vt:lpstr>_2017</vt:lpstr>
      <vt:lpstr>_2017b</vt:lpstr>
      <vt:lpstr>_2017c</vt:lpstr>
      <vt:lpstr>_2017f</vt:lpstr>
      <vt:lpstr>_2017g</vt:lpstr>
      <vt:lpstr>_2017h</vt:lpstr>
      <vt:lpstr>_2017i</vt:lpstr>
      <vt:lpstr>_2017j</vt:lpstr>
      <vt:lpstr>_2017k</vt:lpstr>
      <vt:lpstr>_2017l</vt:lpstr>
      <vt:lpstr>_2017m</vt:lpstr>
      <vt:lpstr>_2018</vt:lpstr>
      <vt:lpstr>_2018b</vt:lpstr>
      <vt:lpstr>_2018c</vt:lpstr>
      <vt:lpstr>_2018f</vt:lpstr>
      <vt:lpstr>_2018g</vt:lpstr>
      <vt:lpstr>_2018h</vt:lpstr>
      <vt:lpstr>_2018i</vt:lpstr>
      <vt:lpstr>_2018j</vt:lpstr>
      <vt:lpstr>_2018k</vt:lpstr>
      <vt:lpstr>_2018l</vt:lpstr>
      <vt:lpstr>_2018m</vt:lpstr>
      <vt:lpstr>_2018n</vt:lpstr>
      <vt:lpstr>_2018o</vt:lpstr>
      <vt:lpstr>_2019</vt:lpstr>
      <vt:lpstr>_2019b</vt:lpstr>
      <vt:lpstr>_2019c</vt:lpstr>
      <vt:lpstr>_2019f</vt:lpstr>
      <vt:lpstr>_2019g</vt:lpstr>
      <vt:lpstr>_2019h</vt:lpstr>
      <vt:lpstr>_2019i</vt:lpstr>
      <vt:lpstr>_2019j</vt:lpstr>
      <vt:lpstr>_2019k</vt:lpstr>
      <vt:lpstr>_2019l</vt:lpstr>
      <vt:lpstr>_2019m</vt:lpstr>
      <vt:lpstr>_2019t</vt:lpstr>
      <vt:lpstr>_2020</vt:lpstr>
      <vt:lpstr>_2020b</vt:lpstr>
      <vt:lpstr>_2020c</vt:lpstr>
      <vt:lpstr>_2020f</vt:lpstr>
      <vt:lpstr>_2020g</vt:lpstr>
      <vt:lpstr>_2020h</vt:lpstr>
      <vt:lpstr>_2020i</vt:lpstr>
      <vt:lpstr>_2020j</vt:lpstr>
      <vt:lpstr>_2020k</vt:lpstr>
      <vt:lpstr>_2020l</vt:lpstr>
      <vt:lpstr>_2020m</vt:lpstr>
      <vt:lpstr>_2020t</vt:lpstr>
      <vt:lpstr>_2021</vt:lpstr>
      <vt:lpstr>_2021b</vt:lpstr>
      <vt:lpstr>_2021c</vt:lpstr>
      <vt:lpstr>_2021f</vt:lpstr>
      <vt:lpstr>_2021g</vt:lpstr>
      <vt:lpstr>_2021h</vt:lpstr>
      <vt:lpstr>_2021i</vt:lpstr>
      <vt:lpstr>_2021j</vt:lpstr>
      <vt:lpstr>_2021k</vt:lpstr>
      <vt:lpstr>_2021l</vt:lpstr>
      <vt:lpstr>_2021m</vt:lpstr>
      <vt:lpstr>_2021n</vt:lpstr>
      <vt:lpstr>_2021o</vt:lpstr>
      <vt:lpstr>_2021t</vt:lpstr>
      <vt:lpstr>_2022</vt:lpstr>
      <vt:lpstr>_2022b</vt:lpstr>
      <vt:lpstr>_2022c</vt:lpstr>
      <vt:lpstr>_2022f</vt:lpstr>
      <vt:lpstr>_2022g</vt:lpstr>
      <vt:lpstr>_2022h</vt:lpstr>
      <vt:lpstr>_2022i</vt:lpstr>
      <vt:lpstr>_2022j</vt:lpstr>
      <vt:lpstr>_2022k</vt:lpstr>
      <vt:lpstr>_2022l</vt:lpstr>
      <vt:lpstr>_2022m</vt:lpstr>
      <vt:lpstr>_2022n</vt:lpstr>
      <vt:lpstr>_2022o</vt:lpstr>
      <vt:lpstr>_2022t</vt:lpstr>
      <vt:lpstr>_2046</vt:lpstr>
      <vt:lpstr>_2046b</vt:lpstr>
      <vt:lpstr>_2046c</vt:lpstr>
      <vt:lpstr>_2046f</vt:lpstr>
      <vt:lpstr>_2046g</vt:lpstr>
      <vt:lpstr>_2046h</vt:lpstr>
      <vt:lpstr>_2046i</vt:lpstr>
      <vt:lpstr>_2046j</vt:lpstr>
      <vt:lpstr>_2046k</vt:lpstr>
      <vt:lpstr>_2046l</vt:lpstr>
      <vt:lpstr>_2046m</vt:lpstr>
      <vt:lpstr>_2047</vt:lpstr>
      <vt:lpstr>_2047b</vt:lpstr>
      <vt:lpstr>_2047c</vt:lpstr>
      <vt:lpstr>_2047f</vt:lpstr>
      <vt:lpstr>_2047g</vt:lpstr>
      <vt:lpstr>_2047h</vt:lpstr>
      <vt:lpstr>_2047i</vt:lpstr>
      <vt:lpstr>_2047j</vt:lpstr>
      <vt:lpstr>_2047k</vt:lpstr>
      <vt:lpstr>_2047l</vt:lpstr>
      <vt:lpstr>_2047m</vt:lpstr>
      <vt:lpstr>_2048</vt:lpstr>
      <vt:lpstr>_2048b</vt:lpstr>
      <vt:lpstr>_2048c</vt:lpstr>
      <vt:lpstr>_2048f</vt:lpstr>
      <vt:lpstr>_2048g</vt:lpstr>
      <vt:lpstr>_2048h</vt:lpstr>
      <vt:lpstr>_2048i</vt:lpstr>
      <vt:lpstr>_2048j</vt:lpstr>
      <vt:lpstr>_2048k</vt:lpstr>
      <vt:lpstr>_2048l</vt:lpstr>
      <vt:lpstr>_2048m</vt:lpstr>
      <vt:lpstr>_2049</vt:lpstr>
      <vt:lpstr>_2049b</vt:lpstr>
      <vt:lpstr>_2049c</vt:lpstr>
      <vt:lpstr>_2052</vt:lpstr>
      <vt:lpstr>_2052b</vt:lpstr>
      <vt:lpstr>_2052c</vt:lpstr>
      <vt:lpstr>_2052f</vt:lpstr>
      <vt:lpstr>_2052g</vt:lpstr>
      <vt:lpstr>_2052h</vt:lpstr>
      <vt:lpstr>_2052i</vt:lpstr>
      <vt:lpstr>_2052j</vt:lpstr>
      <vt:lpstr>_2052k</vt:lpstr>
      <vt:lpstr>_2052l</vt:lpstr>
      <vt:lpstr>_2052m</vt:lpstr>
      <vt:lpstr>_2052n</vt:lpstr>
      <vt:lpstr>_2052o</vt:lpstr>
      <vt:lpstr>_2053</vt:lpstr>
      <vt:lpstr>_2053b</vt:lpstr>
      <vt:lpstr>_2053c</vt:lpstr>
      <vt:lpstr>_2053f</vt:lpstr>
      <vt:lpstr>_2053g</vt:lpstr>
      <vt:lpstr>_2053h</vt:lpstr>
      <vt:lpstr>_2053i</vt:lpstr>
      <vt:lpstr>_2053j</vt:lpstr>
      <vt:lpstr>_2053k</vt:lpstr>
      <vt:lpstr>_2053l</vt:lpstr>
      <vt:lpstr>_2053m</vt:lpstr>
      <vt:lpstr>_2053n</vt:lpstr>
      <vt:lpstr>_2053o</vt:lpstr>
      <vt:lpstr>_2081</vt:lpstr>
      <vt:lpstr>_2081b</vt:lpstr>
      <vt:lpstr>_2081c</vt:lpstr>
      <vt:lpstr>_2081f</vt:lpstr>
      <vt:lpstr>_2081g</vt:lpstr>
      <vt:lpstr>_2081h</vt:lpstr>
      <vt:lpstr>_2081i</vt:lpstr>
      <vt:lpstr>_2081j</vt:lpstr>
      <vt:lpstr>_2081k</vt:lpstr>
      <vt:lpstr>_2081l</vt:lpstr>
      <vt:lpstr>_2081m</vt:lpstr>
      <vt:lpstr>_2084</vt:lpstr>
      <vt:lpstr>_2084b</vt:lpstr>
      <vt:lpstr>_2084c</vt:lpstr>
      <vt:lpstr>_2084f</vt:lpstr>
      <vt:lpstr>_2084g</vt:lpstr>
      <vt:lpstr>_2084h</vt:lpstr>
      <vt:lpstr>_2084i</vt:lpstr>
      <vt:lpstr>_2084j</vt:lpstr>
      <vt:lpstr>_2084k</vt:lpstr>
      <vt:lpstr>_2084l</vt:lpstr>
      <vt:lpstr>_2084m</vt:lpstr>
      <vt:lpstr>_2086</vt:lpstr>
      <vt:lpstr>_2086b</vt:lpstr>
      <vt:lpstr>_2086c</vt:lpstr>
      <vt:lpstr>_2086f</vt:lpstr>
      <vt:lpstr>_2086g</vt:lpstr>
      <vt:lpstr>_2086h</vt:lpstr>
      <vt:lpstr>_2086i</vt:lpstr>
      <vt:lpstr>_2086j</vt:lpstr>
      <vt:lpstr>_2086k</vt:lpstr>
      <vt:lpstr>_2086l</vt:lpstr>
      <vt:lpstr>_2086m</vt:lpstr>
      <vt:lpstr>_2087</vt:lpstr>
      <vt:lpstr>_2087b</vt:lpstr>
      <vt:lpstr>_2087c</vt:lpstr>
      <vt:lpstr>_2087f</vt:lpstr>
      <vt:lpstr>_2087g</vt:lpstr>
      <vt:lpstr>_2087h</vt:lpstr>
      <vt:lpstr>_2087i</vt:lpstr>
      <vt:lpstr>_2087j</vt:lpstr>
      <vt:lpstr>_2087k</vt:lpstr>
      <vt:lpstr>_2087l</vt:lpstr>
      <vt:lpstr>_2087m</vt:lpstr>
      <vt:lpstr>_2087t</vt:lpstr>
      <vt:lpstr>_2088</vt:lpstr>
      <vt:lpstr>_2088b</vt:lpstr>
      <vt:lpstr>_2088c</vt:lpstr>
      <vt:lpstr>_2088f</vt:lpstr>
      <vt:lpstr>_2088g</vt:lpstr>
      <vt:lpstr>_2088h</vt:lpstr>
      <vt:lpstr>_2088i</vt:lpstr>
      <vt:lpstr>_2088j</vt:lpstr>
      <vt:lpstr>_2088k</vt:lpstr>
      <vt:lpstr>_2088l</vt:lpstr>
      <vt:lpstr>_2088m</vt:lpstr>
      <vt:lpstr>_2103</vt:lpstr>
      <vt:lpstr>_2103b</vt:lpstr>
      <vt:lpstr>_2103c</vt:lpstr>
      <vt:lpstr>_2103f</vt:lpstr>
      <vt:lpstr>_2103g</vt:lpstr>
      <vt:lpstr>_2103h</vt:lpstr>
      <vt:lpstr>_2103i</vt:lpstr>
      <vt:lpstr>_2103j</vt:lpstr>
      <vt:lpstr>_2103k</vt:lpstr>
      <vt:lpstr>_2103l</vt:lpstr>
      <vt:lpstr>_2103m</vt:lpstr>
      <vt:lpstr>_2104</vt:lpstr>
      <vt:lpstr>_2104b</vt:lpstr>
      <vt:lpstr>_2104c</vt:lpstr>
      <vt:lpstr>_2104f</vt:lpstr>
      <vt:lpstr>_2104g</vt:lpstr>
      <vt:lpstr>_2104h</vt:lpstr>
      <vt:lpstr>_2104i</vt:lpstr>
      <vt:lpstr>_2104j</vt:lpstr>
      <vt:lpstr>_2104k</vt:lpstr>
      <vt:lpstr>_2104l</vt:lpstr>
      <vt:lpstr>_2104m</vt:lpstr>
      <vt:lpstr>_2128</vt:lpstr>
      <vt:lpstr>_2128b</vt:lpstr>
      <vt:lpstr>_2128c</vt:lpstr>
      <vt:lpstr>_2128f</vt:lpstr>
      <vt:lpstr>_2128g</vt:lpstr>
      <vt:lpstr>_2128h</vt:lpstr>
      <vt:lpstr>_2128i</vt:lpstr>
      <vt:lpstr>_2128j</vt:lpstr>
      <vt:lpstr>_2128k</vt:lpstr>
      <vt:lpstr>_2128l</vt:lpstr>
      <vt:lpstr>_2128m</vt:lpstr>
      <vt:lpstr>_2129</vt:lpstr>
      <vt:lpstr>_2129b</vt:lpstr>
      <vt:lpstr>_2129c</vt:lpstr>
      <vt:lpstr>_2129f</vt:lpstr>
      <vt:lpstr>_2129g</vt:lpstr>
      <vt:lpstr>_2129h</vt:lpstr>
      <vt:lpstr>_2129i</vt:lpstr>
      <vt:lpstr>_2129j</vt:lpstr>
      <vt:lpstr>_2129k</vt:lpstr>
      <vt:lpstr>_2129l</vt:lpstr>
      <vt:lpstr>_2129m</vt:lpstr>
      <vt:lpstr>_2156</vt:lpstr>
      <vt:lpstr>_2156b</vt:lpstr>
      <vt:lpstr>_2156c</vt:lpstr>
      <vt:lpstr>_2161</vt:lpstr>
      <vt:lpstr>_2161b</vt:lpstr>
      <vt:lpstr>_2161c</vt:lpstr>
      <vt:lpstr>_2161f</vt:lpstr>
      <vt:lpstr>_2161g</vt:lpstr>
      <vt:lpstr>_2161h</vt:lpstr>
      <vt:lpstr>_2161i</vt:lpstr>
      <vt:lpstr>_2161j</vt:lpstr>
      <vt:lpstr>_2161k</vt:lpstr>
      <vt:lpstr>_2161l</vt:lpstr>
      <vt:lpstr>_2161m</vt:lpstr>
      <vt:lpstr>_2185</vt:lpstr>
      <vt:lpstr>_2185b</vt:lpstr>
      <vt:lpstr>_2185c</vt:lpstr>
      <vt:lpstr>_2185f</vt:lpstr>
      <vt:lpstr>_2185g</vt:lpstr>
      <vt:lpstr>_2185h</vt:lpstr>
      <vt:lpstr>_2185i</vt:lpstr>
      <vt:lpstr>_2185j</vt:lpstr>
      <vt:lpstr>_2185k</vt:lpstr>
      <vt:lpstr>_2185l</vt:lpstr>
      <vt:lpstr>_2185m</vt:lpstr>
      <vt:lpstr>_2189</vt:lpstr>
      <vt:lpstr>_2189b</vt:lpstr>
      <vt:lpstr>_2189c</vt:lpstr>
      <vt:lpstr>_2189f</vt:lpstr>
      <vt:lpstr>_2189g</vt:lpstr>
      <vt:lpstr>_2189h</vt:lpstr>
      <vt:lpstr>_2189i</vt:lpstr>
      <vt:lpstr>_2189j</vt:lpstr>
      <vt:lpstr>_2189k</vt:lpstr>
      <vt:lpstr>_2189l</vt:lpstr>
      <vt:lpstr>_2189m</vt:lpstr>
      <vt:lpstr>_2190</vt:lpstr>
      <vt:lpstr>_2190b</vt:lpstr>
      <vt:lpstr>_2190c</vt:lpstr>
      <vt:lpstr>_2190f</vt:lpstr>
      <vt:lpstr>_2190g</vt:lpstr>
      <vt:lpstr>_2190h</vt:lpstr>
      <vt:lpstr>_2190i</vt:lpstr>
      <vt:lpstr>_2190j</vt:lpstr>
      <vt:lpstr>_2190k</vt:lpstr>
      <vt:lpstr>_2190l</vt:lpstr>
      <vt:lpstr>_2190m</vt:lpstr>
      <vt:lpstr>_2193</vt:lpstr>
      <vt:lpstr>_2193b</vt:lpstr>
      <vt:lpstr>_2193c</vt:lpstr>
      <vt:lpstr>_2200</vt:lpstr>
      <vt:lpstr>_2200b</vt:lpstr>
      <vt:lpstr>_2200c</vt:lpstr>
      <vt:lpstr>_2200f</vt:lpstr>
      <vt:lpstr>_2200g</vt:lpstr>
      <vt:lpstr>_2200h</vt:lpstr>
      <vt:lpstr>_2200i</vt:lpstr>
      <vt:lpstr>_2200j</vt:lpstr>
      <vt:lpstr>_2200k</vt:lpstr>
      <vt:lpstr>_2200l</vt:lpstr>
      <vt:lpstr>_2200m</vt:lpstr>
      <vt:lpstr>_2204</vt:lpstr>
      <vt:lpstr>_2204b</vt:lpstr>
      <vt:lpstr>_2204c</vt:lpstr>
      <vt:lpstr>_2204f</vt:lpstr>
      <vt:lpstr>_2204g</vt:lpstr>
      <vt:lpstr>_2204h</vt:lpstr>
      <vt:lpstr>_2204i</vt:lpstr>
      <vt:lpstr>_2204j</vt:lpstr>
      <vt:lpstr>_2204k</vt:lpstr>
      <vt:lpstr>_2204l</vt:lpstr>
      <vt:lpstr>_2204m</vt:lpstr>
      <vt:lpstr>_2205</vt:lpstr>
      <vt:lpstr>_2205b</vt:lpstr>
      <vt:lpstr>_2205c</vt:lpstr>
      <vt:lpstr>_2205f</vt:lpstr>
      <vt:lpstr>_2205g</vt:lpstr>
      <vt:lpstr>_2205h</vt:lpstr>
      <vt:lpstr>_2205i</vt:lpstr>
      <vt:lpstr>_2205j</vt:lpstr>
      <vt:lpstr>_2205k</vt:lpstr>
      <vt:lpstr>_2205l</vt:lpstr>
      <vt:lpstr>_2205m</vt:lpstr>
      <vt:lpstr>_2206</vt:lpstr>
      <vt:lpstr>_2206b</vt:lpstr>
      <vt:lpstr>_2206c</vt:lpstr>
      <vt:lpstr>_2206f</vt:lpstr>
      <vt:lpstr>_2206g</vt:lpstr>
      <vt:lpstr>_2206h</vt:lpstr>
      <vt:lpstr>_2206i</vt:lpstr>
      <vt:lpstr>_2206j</vt:lpstr>
      <vt:lpstr>_2206k</vt:lpstr>
      <vt:lpstr>_2206l</vt:lpstr>
      <vt:lpstr>_2206m</vt:lpstr>
      <vt:lpstr>_2207</vt:lpstr>
      <vt:lpstr>_2207b</vt:lpstr>
      <vt:lpstr>_2207c</vt:lpstr>
      <vt:lpstr>_2207f</vt:lpstr>
      <vt:lpstr>_2207g</vt:lpstr>
      <vt:lpstr>_2207h</vt:lpstr>
      <vt:lpstr>_2207i</vt:lpstr>
      <vt:lpstr>_2207j</vt:lpstr>
      <vt:lpstr>_2207k</vt:lpstr>
      <vt:lpstr>_2207l</vt:lpstr>
      <vt:lpstr>_2207m</vt:lpstr>
      <vt:lpstr>_2209</vt:lpstr>
      <vt:lpstr>_2209b</vt:lpstr>
      <vt:lpstr>_2209c</vt:lpstr>
      <vt:lpstr>_2209f</vt:lpstr>
      <vt:lpstr>_2209g</vt:lpstr>
      <vt:lpstr>_2209h</vt:lpstr>
      <vt:lpstr>_2209i</vt:lpstr>
      <vt:lpstr>_2209j</vt:lpstr>
      <vt:lpstr>_2209k</vt:lpstr>
      <vt:lpstr>_2209l</vt:lpstr>
      <vt:lpstr>_2209m</vt:lpstr>
      <vt:lpstr>_2212</vt:lpstr>
      <vt:lpstr>_2212b</vt:lpstr>
      <vt:lpstr>_2212c</vt:lpstr>
      <vt:lpstr>_2212f</vt:lpstr>
      <vt:lpstr>_2212g</vt:lpstr>
      <vt:lpstr>_2212h</vt:lpstr>
      <vt:lpstr>_2212i</vt:lpstr>
      <vt:lpstr>_2212j</vt:lpstr>
      <vt:lpstr>_2212k</vt:lpstr>
      <vt:lpstr>_2212l</vt:lpstr>
      <vt:lpstr>_2212m</vt:lpstr>
      <vt:lpstr>_2213</vt:lpstr>
      <vt:lpstr>_2213b</vt:lpstr>
      <vt:lpstr>_2213c</vt:lpstr>
      <vt:lpstr>_2213f</vt:lpstr>
      <vt:lpstr>_2213g</vt:lpstr>
      <vt:lpstr>_2213h</vt:lpstr>
      <vt:lpstr>_2213i</vt:lpstr>
      <vt:lpstr>_2213j</vt:lpstr>
      <vt:lpstr>_2213k</vt:lpstr>
      <vt:lpstr>_2213l</vt:lpstr>
      <vt:lpstr>_2213m</vt:lpstr>
      <vt:lpstr>_2217</vt:lpstr>
      <vt:lpstr>_2217b</vt:lpstr>
      <vt:lpstr>_2217c</vt:lpstr>
      <vt:lpstr>_2217f</vt:lpstr>
      <vt:lpstr>_2217g</vt:lpstr>
      <vt:lpstr>_2217h</vt:lpstr>
      <vt:lpstr>_2217i</vt:lpstr>
      <vt:lpstr>_2217j</vt:lpstr>
      <vt:lpstr>_2217k</vt:lpstr>
      <vt:lpstr>_2217l</vt:lpstr>
      <vt:lpstr>_2217m</vt:lpstr>
      <vt:lpstr>_2231</vt:lpstr>
      <vt:lpstr>_2231b</vt:lpstr>
      <vt:lpstr>_2231c</vt:lpstr>
      <vt:lpstr>_2231f</vt:lpstr>
      <vt:lpstr>_2231g</vt:lpstr>
      <vt:lpstr>_2231h</vt:lpstr>
      <vt:lpstr>_2231i</vt:lpstr>
      <vt:lpstr>_2231j</vt:lpstr>
      <vt:lpstr>_2231k</vt:lpstr>
      <vt:lpstr>_2231l</vt:lpstr>
      <vt:lpstr>_2231m</vt:lpstr>
      <vt:lpstr>_2231n</vt:lpstr>
      <vt:lpstr>_2231o</vt:lpstr>
      <vt:lpstr>_2231t</vt:lpstr>
      <vt:lpstr>_2234</vt:lpstr>
      <vt:lpstr>_2234b</vt:lpstr>
      <vt:lpstr>_2234c</vt:lpstr>
      <vt:lpstr>_2234f</vt:lpstr>
      <vt:lpstr>_2234g</vt:lpstr>
      <vt:lpstr>_2234h</vt:lpstr>
      <vt:lpstr>_2234i</vt:lpstr>
      <vt:lpstr>_2234j</vt:lpstr>
      <vt:lpstr>_2234k</vt:lpstr>
      <vt:lpstr>_2234l</vt:lpstr>
      <vt:lpstr>_2234M</vt:lpstr>
      <vt:lpstr>_2242</vt:lpstr>
      <vt:lpstr>_2242b</vt:lpstr>
      <vt:lpstr>_2242c</vt:lpstr>
      <vt:lpstr>_2242d</vt:lpstr>
      <vt:lpstr>_2242f</vt:lpstr>
      <vt:lpstr>_2242g</vt:lpstr>
      <vt:lpstr>_2242h</vt:lpstr>
      <vt:lpstr>_2242i</vt:lpstr>
      <vt:lpstr>_2242j</vt:lpstr>
      <vt:lpstr>_2242k</vt:lpstr>
      <vt:lpstr>_2242l</vt:lpstr>
      <vt:lpstr>_2242m</vt:lpstr>
      <vt:lpstr>_2280</vt:lpstr>
      <vt:lpstr>_2280b</vt:lpstr>
      <vt:lpstr>_2280c</vt:lpstr>
      <vt:lpstr>_2280f</vt:lpstr>
      <vt:lpstr>_2280g</vt:lpstr>
      <vt:lpstr>_2280h</vt:lpstr>
      <vt:lpstr>_2280i</vt:lpstr>
      <vt:lpstr>_2280j</vt:lpstr>
      <vt:lpstr>_2280k</vt:lpstr>
      <vt:lpstr>_2280l</vt:lpstr>
      <vt:lpstr>_2280m</vt:lpstr>
      <vt:lpstr>_2281</vt:lpstr>
      <vt:lpstr>_2281b</vt:lpstr>
      <vt:lpstr>_2281c</vt:lpstr>
      <vt:lpstr>_2281f</vt:lpstr>
      <vt:lpstr>_2281g</vt:lpstr>
      <vt:lpstr>_2281h</vt:lpstr>
      <vt:lpstr>_2281i</vt:lpstr>
      <vt:lpstr>_2281j</vt:lpstr>
      <vt:lpstr>_2281k</vt:lpstr>
      <vt:lpstr>_2281l</vt:lpstr>
      <vt:lpstr>_2281m</vt:lpstr>
      <vt:lpstr>_2282</vt:lpstr>
      <vt:lpstr>_2282b</vt:lpstr>
      <vt:lpstr>_2282c</vt:lpstr>
      <vt:lpstr>_2282f</vt:lpstr>
      <vt:lpstr>_2282g</vt:lpstr>
      <vt:lpstr>_2282h</vt:lpstr>
      <vt:lpstr>_2282i</vt:lpstr>
      <vt:lpstr>_2282j</vt:lpstr>
      <vt:lpstr>_2282k</vt:lpstr>
      <vt:lpstr>_2282l</vt:lpstr>
      <vt:lpstr>_2282m</vt:lpstr>
      <vt:lpstr>_2290</vt:lpstr>
      <vt:lpstr>_2290b</vt:lpstr>
      <vt:lpstr>_2290c</vt:lpstr>
      <vt:lpstr>_2290f</vt:lpstr>
      <vt:lpstr>_2290g</vt:lpstr>
      <vt:lpstr>_2290h</vt:lpstr>
      <vt:lpstr>_2290i</vt:lpstr>
      <vt:lpstr>_2290j</vt:lpstr>
      <vt:lpstr>_2290k</vt:lpstr>
      <vt:lpstr>_2290l</vt:lpstr>
      <vt:lpstr>_2290m</vt:lpstr>
      <vt:lpstr>_2290n</vt:lpstr>
      <vt:lpstr>_2290o</vt:lpstr>
      <vt:lpstr>_2291</vt:lpstr>
      <vt:lpstr>_2291b</vt:lpstr>
      <vt:lpstr>_2291c</vt:lpstr>
      <vt:lpstr>_2291f</vt:lpstr>
      <vt:lpstr>_2291g</vt:lpstr>
      <vt:lpstr>_2291h</vt:lpstr>
      <vt:lpstr>_2291i</vt:lpstr>
      <vt:lpstr>_2291j</vt:lpstr>
      <vt:lpstr>_2291k</vt:lpstr>
      <vt:lpstr>_2291l</vt:lpstr>
      <vt:lpstr>_2291m</vt:lpstr>
      <vt:lpstr>_2291n</vt:lpstr>
      <vt:lpstr>_2291o</vt:lpstr>
      <vt:lpstr>_2293</vt:lpstr>
      <vt:lpstr>_2293b</vt:lpstr>
      <vt:lpstr>_2293c</vt:lpstr>
      <vt:lpstr>_2293f</vt:lpstr>
      <vt:lpstr>_2293g</vt:lpstr>
      <vt:lpstr>_2293h</vt:lpstr>
      <vt:lpstr>_2293i</vt:lpstr>
      <vt:lpstr>_2293j</vt:lpstr>
      <vt:lpstr>_2293k</vt:lpstr>
      <vt:lpstr>_2293l</vt:lpstr>
      <vt:lpstr>_2293m</vt:lpstr>
      <vt:lpstr>_2294</vt:lpstr>
      <vt:lpstr>_2294b</vt:lpstr>
      <vt:lpstr>_2294c</vt:lpstr>
      <vt:lpstr>_2294f</vt:lpstr>
      <vt:lpstr>_2294g</vt:lpstr>
      <vt:lpstr>_2294h</vt:lpstr>
      <vt:lpstr>_2294i</vt:lpstr>
      <vt:lpstr>_2294j</vt:lpstr>
      <vt:lpstr>_2294k</vt:lpstr>
      <vt:lpstr>_2294l</vt:lpstr>
      <vt:lpstr>_2294m</vt:lpstr>
      <vt:lpstr>_2295</vt:lpstr>
      <vt:lpstr>_2295b</vt:lpstr>
      <vt:lpstr>_2295c</vt:lpstr>
      <vt:lpstr>_2295f</vt:lpstr>
      <vt:lpstr>_2295g</vt:lpstr>
      <vt:lpstr>_2295h</vt:lpstr>
      <vt:lpstr>_2295i</vt:lpstr>
      <vt:lpstr>_2295j</vt:lpstr>
      <vt:lpstr>_2295k</vt:lpstr>
      <vt:lpstr>_2295l</vt:lpstr>
      <vt:lpstr>_2295m</vt:lpstr>
      <vt:lpstr>_2300</vt:lpstr>
      <vt:lpstr>_2300b</vt:lpstr>
      <vt:lpstr>_2300c</vt:lpstr>
      <vt:lpstr>_2300f</vt:lpstr>
      <vt:lpstr>_2300g</vt:lpstr>
      <vt:lpstr>_2300h</vt:lpstr>
      <vt:lpstr>_2300i</vt:lpstr>
      <vt:lpstr>_2300j</vt:lpstr>
      <vt:lpstr>_2300k</vt:lpstr>
      <vt:lpstr>_2300l</vt:lpstr>
      <vt:lpstr>_2300m</vt:lpstr>
      <vt:lpstr>_2300n</vt:lpstr>
      <vt:lpstr>_2300o</vt:lpstr>
      <vt:lpstr>_2309</vt:lpstr>
      <vt:lpstr>_2309b</vt:lpstr>
      <vt:lpstr>_2309c</vt:lpstr>
      <vt:lpstr>_2309f</vt:lpstr>
      <vt:lpstr>_2309g</vt:lpstr>
      <vt:lpstr>_2309h</vt:lpstr>
      <vt:lpstr>_2309i</vt:lpstr>
      <vt:lpstr>_2309j</vt:lpstr>
      <vt:lpstr>_2309k</vt:lpstr>
      <vt:lpstr>_2309l</vt:lpstr>
      <vt:lpstr>_2309m</vt:lpstr>
      <vt:lpstr>_2309n</vt:lpstr>
      <vt:lpstr>_2309o</vt:lpstr>
      <vt:lpstr>_2309t</vt:lpstr>
      <vt:lpstr>_2311</vt:lpstr>
      <vt:lpstr>_2311b</vt:lpstr>
      <vt:lpstr>_2311c</vt:lpstr>
      <vt:lpstr>_2311f</vt:lpstr>
      <vt:lpstr>_2311g</vt:lpstr>
      <vt:lpstr>_2311h</vt:lpstr>
      <vt:lpstr>_2311i</vt:lpstr>
      <vt:lpstr>_2311j</vt:lpstr>
      <vt:lpstr>_2311k</vt:lpstr>
      <vt:lpstr>_2311l</vt:lpstr>
      <vt:lpstr>_2311m</vt:lpstr>
      <vt:lpstr>_2311n</vt:lpstr>
      <vt:lpstr>_2311o</vt:lpstr>
      <vt:lpstr>_2316</vt:lpstr>
      <vt:lpstr>_2319b</vt:lpstr>
      <vt:lpstr>_2319c</vt:lpstr>
      <vt:lpstr>_2319f</vt:lpstr>
      <vt:lpstr>_2319g</vt:lpstr>
      <vt:lpstr>_2319h</vt:lpstr>
      <vt:lpstr>_2319i</vt:lpstr>
      <vt:lpstr>_2319j</vt:lpstr>
      <vt:lpstr>_2319k</vt:lpstr>
      <vt:lpstr>_2319l</vt:lpstr>
      <vt:lpstr>_2319m</vt:lpstr>
      <vt:lpstr>_2319n</vt:lpstr>
      <vt:lpstr>_2319o</vt:lpstr>
      <vt:lpstr>_2319t</vt:lpstr>
      <vt:lpstr>_b1753</vt:lpstr>
      <vt:lpstr>_b1753b</vt:lpstr>
      <vt:lpstr>_b1753c</vt:lpstr>
      <vt:lpstr>_b1753f</vt:lpstr>
      <vt:lpstr>_b1753g</vt:lpstr>
      <vt:lpstr>_b1753h</vt:lpstr>
      <vt:lpstr>_b1753i</vt:lpstr>
      <vt:lpstr>_b1753j</vt:lpstr>
      <vt:lpstr>_b1753k</vt:lpstr>
      <vt:lpstr>_b1753l</vt:lpstr>
      <vt:lpstr>_b1753m</vt:lpstr>
      <vt:lpstr>_b1753t</vt:lpstr>
      <vt:lpstr>_b1754</vt:lpstr>
      <vt:lpstr>_b1754b</vt:lpstr>
      <vt:lpstr>_b1754c</vt:lpstr>
      <vt:lpstr>_b1754f</vt:lpstr>
      <vt:lpstr>_b1754g</vt:lpstr>
      <vt:lpstr>_b1754h</vt:lpstr>
      <vt:lpstr>_b1754i</vt:lpstr>
      <vt:lpstr>_b1754j</vt:lpstr>
      <vt:lpstr>_b1754k</vt:lpstr>
      <vt:lpstr>_b1754l</vt:lpstr>
      <vt:lpstr>_b1754m</vt:lpstr>
      <vt:lpstr>_b1754t</vt:lpstr>
      <vt:lpstr>_b1755</vt:lpstr>
      <vt:lpstr>_b1755b</vt:lpstr>
      <vt:lpstr>_b1755c</vt:lpstr>
      <vt:lpstr>_b1755f</vt:lpstr>
      <vt:lpstr>_b1755g</vt:lpstr>
      <vt:lpstr>_b1755h</vt:lpstr>
      <vt:lpstr>_b1755i</vt:lpstr>
      <vt:lpstr>_b1755j</vt:lpstr>
      <vt:lpstr>_b1755k</vt:lpstr>
      <vt:lpstr>_b1755l</vt:lpstr>
      <vt:lpstr>_b1755m</vt:lpstr>
      <vt:lpstr>_b1755t</vt:lpstr>
      <vt:lpstr>_b1758</vt:lpstr>
      <vt:lpstr>_b1758b</vt:lpstr>
      <vt:lpstr>_b1758c</vt:lpstr>
      <vt:lpstr>_b1758f</vt:lpstr>
      <vt:lpstr>_b1758g</vt:lpstr>
      <vt:lpstr>_b1758h</vt:lpstr>
      <vt:lpstr>_b1758i</vt:lpstr>
      <vt:lpstr>_b1758j</vt:lpstr>
      <vt:lpstr>_b1758k</vt:lpstr>
      <vt:lpstr>_b1758l</vt:lpstr>
      <vt:lpstr>_b1758m</vt:lpstr>
      <vt:lpstr>_b1758t</vt:lpstr>
      <vt:lpstr>_b1779</vt:lpstr>
      <vt:lpstr>_b1779b</vt:lpstr>
      <vt:lpstr>_b1779c</vt:lpstr>
      <vt:lpstr>_b1779f</vt:lpstr>
      <vt:lpstr>_b1779g</vt:lpstr>
      <vt:lpstr>_b1779h</vt:lpstr>
      <vt:lpstr>_b1779i</vt:lpstr>
      <vt:lpstr>_b1779j</vt:lpstr>
      <vt:lpstr>_b1779k</vt:lpstr>
      <vt:lpstr>_b1779l</vt:lpstr>
      <vt:lpstr>_b1779m</vt:lpstr>
      <vt:lpstr>_b1780</vt:lpstr>
      <vt:lpstr>_b1780b</vt:lpstr>
      <vt:lpstr>_b1780c</vt:lpstr>
      <vt:lpstr>_b1780f</vt:lpstr>
      <vt:lpstr>_b1780g</vt:lpstr>
      <vt:lpstr>_b1780h</vt:lpstr>
      <vt:lpstr>_b1780i</vt:lpstr>
      <vt:lpstr>_b1780j</vt:lpstr>
      <vt:lpstr>_b1780k</vt:lpstr>
      <vt:lpstr>_b1780l</vt:lpstr>
      <vt:lpstr>_b1780m</vt:lpstr>
      <vt:lpstr>_b1787</vt:lpstr>
      <vt:lpstr>_b1787b</vt:lpstr>
      <vt:lpstr>_b1787c</vt:lpstr>
      <vt:lpstr>_b1787f</vt:lpstr>
      <vt:lpstr>_b1787g</vt:lpstr>
      <vt:lpstr>_b1787h</vt:lpstr>
      <vt:lpstr>_b1787i</vt:lpstr>
      <vt:lpstr>_b1787j</vt:lpstr>
      <vt:lpstr>_b1787k</vt:lpstr>
      <vt:lpstr>_b1787l</vt:lpstr>
      <vt:lpstr>_b1787m</vt:lpstr>
      <vt:lpstr>_b1787t</vt:lpstr>
      <vt:lpstr>_b1788</vt:lpstr>
      <vt:lpstr>_b1788b</vt:lpstr>
      <vt:lpstr>_b1788c</vt:lpstr>
      <vt:lpstr>_b1788f</vt:lpstr>
      <vt:lpstr>_b1788g</vt:lpstr>
      <vt:lpstr>_b1788h</vt:lpstr>
      <vt:lpstr>_b1788i</vt:lpstr>
      <vt:lpstr>_b1788j</vt:lpstr>
      <vt:lpstr>_b1788k</vt:lpstr>
      <vt:lpstr>_b1788l</vt:lpstr>
      <vt:lpstr>_b1788m</vt:lpstr>
      <vt:lpstr>_b1788t</vt:lpstr>
      <vt:lpstr>_b1789</vt:lpstr>
      <vt:lpstr>_b1789b</vt:lpstr>
      <vt:lpstr>_b1789c</vt:lpstr>
      <vt:lpstr>_b1789f</vt:lpstr>
      <vt:lpstr>_b1789g</vt:lpstr>
      <vt:lpstr>_b1789h</vt:lpstr>
      <vt:lpstr>_b1789i</vt:lpstr>
      <vt:lpstr>_b1789j</vt:lpstr>
      <vt:lpstr>_b1789k</vt:lpstr>
      <vt:lpstr>_b1789l</vt:lpstr>
      <vt:lpstr>_b1789m</vt:lpstr>
      <vt:lpstr>_b1789t</vt:lpstr>
      <vt:lpstr>_b1892</vt:lpstr>
      <vt:lpstr>_b1892b</vt:lpstr>
      <vt:lpstr>_b1892c</vt:lpstr>
      <vt:lpstr>_b1892f</vt:lpstr>
      <vt:lpstr>_b1892g</vt:lpstr>
      <vt:lpstr>_b1892h</vt:lpstr>
      <vt:lpstr>_b1892i</vt:lpstr>
      <vt:lpstr>_b1892j</vt:lpstr>
      <vt:lpstr>_b1892k</vt:lpstr>
      <vt:lpstr>_b1892l</vt:lpstr>
      <vt:lpstr>_b1892m</vt:lpstr>
      <vt:lpstr>_b1892t</vt:lpstr>
      <vt:lpstr>_b1893</vt:lpstr>
      <vt:lpstr>_b1893b</vt:lpstr>
      <vt:lpstr>_b1893c</vt:lpstr>
      <vt:lpstr>_b1893f</vt:lpstr>
      <vt:lpstr>_b1893g</vt:lpstr>
      <vt:lpstr>_b1893h</vt:lpstr>
      <vt:lpstr>_b1893i</vt:lpstr>
      <vt:lpstr>_b1893j</vt:lpstr>
      <vt:lpstr>_b1893k</vt:lpstr>
      <vt:lpstr>_b1893l</vt:lpstr>
      <vt:lpstr>_b1893m</vt:lpstr>
      <vt:lpstr>_b1893t</vt:lpstr>
      <vt:lpstr>_b1998</vt:lpstr>
      <vt:lpstr>_b1998b</vt:lpstr>
      <vt:lpstr>_b1998c</vt:lpstr>
      <vt:lpstr>_b1998f</vt:lpstr>
      <vt:lpstr>_b1998g</vt:lpstr>
      <vt:lpstr>_b1998h</vt:lpstr>
      <vt:lpstr>_b1998i</vt:lpstr>
      <vt:lpstr>_b1998j</vt:lpstr>
      <vt:lpstr>_b1998k</vt:lpstr>
      <vt:lpstr>_b1998l</vt:lpstr>
      <vt:lpstr>_b1998m</vt:lpstr>
      <vt:lpstr>_b1998t</vt:lpstr>
      <vt:lpstr>_b2000</vt:lpstr>
      <vt:lpstr>_b2000b</vt:lpstr>
      <vt:lpstr>_b2000c</vt:lpstr>
      <vt:lpstr>_b2000f</vt:lpstr>
      <vt:lpstr>_b2000g</vt:lpstr>
      <vt:lpstr>_b2000h</vt:lpstr>
      <vt:lpstr>_b2000i</vt:lpstr>
      <vt:lpstr>_b2000j</vt:lpstr>
      <vt:lpstr>_b2000k</vt:lpstr>
      <vt:lpstr>_b2000l</vt:lpstr>
      <vt:lpstr>_b2000m</vt:lpstr>
      <vt:lpstr>_b2000n</vt:lpstr>
      <vt:lpstr>_b2000o</vt:lpstr>
      <vt:lpstr>_b2000t</vt:lpstr>
      <vt:lpstr>_b2018</vt:lpstr>
      <vt:lpstr>_b2018b</vt:lpstr>
      <vt:lpstr>_b2018c</vt:lpstr>
      <vt:lpstr>_b2018f</vt:lpstr>
      <vt:lpstr>_b2018g</vt:lpstr>
      <vt:lpstr>_b2018h</vt:lpstr>
      <vt:lpstr>_b2018i</vt:lpstr>
      <vt:lpstr>_b2018j</vt:lpstr>
      <vt:lpstr>_b2018k</vt:lpstr>
      <vt:lpstr>_b2018l</vt:lpstr>
      <vt:lpstr>_b2018m</vt:lpstr>
      <vt:lpstr>_b2019</vt:lpstr>
      <vt:lpstr>_b2019b</vt:lpstr>
      <vt:lpstr>_b2019c</vt:lpstr>
      <vt:lpstr>_b2019f</vt:lpstr>
      <vt:lpstr>_b2019g</vt:lpstr>
      <vt:lpstr>_b2019h</vt:lpstr>
      <vt:lpstr>_b2019i</vt:lpstr>
      <vt:lpstr>_b2019j</vt:lpstr>
      <vt:lpstr>_b2019k</vt:lpstr>
      <vt:lpstr>_b2019l</vt:lpstr>
      <vt:lpstr>_b2019m</vt:lpstr>
      <vt:lpstr>_b2020</vt:lpstr>
      <vt:lpstr>_b2020b</vt:lpstr>
      <vt:lpstr>_b2020c</vt:lpstr>
      <vt:lpstr>_b2020f</vt:lpstr>
      <vt:lpstr>_b2020g</vt:lpstr>
      <vt:lpstr>_b2020h</vt:lpstr>
      <vt:lpstr>_b2020i</vt:lpstr>
      <vt:lpstr>_b2020j</vt:lpstr>
      <vt:lpstr>_b2020k</vt:lpstr>
      <vt:lpstr>_b2020l</vt:lpstr>
      <vt:lpstr>_b2020m</vt:lpstr>
      <vt:lpstr>_b2020n</vt:lpstr>
      <vt:lpstr>_b2020o</vt:lpstr>
      <vt:lpstr>_c1892</vt:lpstr>
      <vt:lpstr>_c1892b</vt:lpstr>
      <vt:lpstr>_c1892c</vt:lpstr>
      <vt:lpstr>_c1892f</vt:lpstr>
      <vt:lpstr>_c1892g</vt:lpstr>
      <vt:lpstr>_c1892h</vt:lpstr>
      <vt:lpstr>_c1892i</vt:lpstr>
      <vt:lpstr>_c1892j</vt:lpstr>
      <vt:lpstr>_c1892k</vt:lpstr>
      <vt:lpstr>_c1892l</vt:lpstr>
      <vt:lpstr>_c1892m</vt:lpstr>
      <vt:lpstr>_c1892t</vt:lpstr>
      <vt:lpstr>_d1892</vt:lpstr>
      <vt:lpstr>_d1892b</vt:lpstr>
      <vt:lpstr>_d1892c</vt:lpstr>
      <vt:lpstr>_d1892f</vt:lpstr>
      <vt:lpstr>_d1892g</vt:lpstr>
      <vt:lpstr>_d1892h</vt:lpstr>
      <vt:lpstr>_d1892i</vt:lpstr>
      <vt:lpstr>_d1892j</vt:lpstr>
      <vt:lpstr>_d1892k</vt:lpstr>
      <vt:lpstr>_d1892l</vt:lpstr>
      <vt:lpstr>_d1892m</vt:lpstr>
      <vt:lpstr>i</vt:lpstr>
      <vt:lpstr>vj</vt:lpstr>
    </vt:vector>
  </TitlesOfParts>
  <Company>LWK-NRW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Kramer, Harald</dc:creator>
  <cp:lastModifiedBy>Kramer, Harald</cp:lastModifiedBy>
  <dcterms:created xsi:type="dcterms:W3CDTF">2023-05-09T13:43:25Z</dcterms:created>
  <dcterms:modified xsi:type="dcterms:W3CDTF">2023-07-28T15:15:10Z</dcterms:modified>
</cp:coreProperties>
</file>